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597AF5D0-5F29-4F5E-9F15-390873530F79}" xr6:coauthVersionLast="47" xr6:coauthVersionMax="47" xr10:uidLastSave="{00000000-0000-0000-0000-000000000000}"/>
  <bookViews>
    <workbookView xWindow="28680" yWindow="-120" windowWidth="29040" windowHeight="15720" tabRatio="711" activeTab="3" xr2:uid="{8E74B955-DB98-4EF1-8857-D726C0B7EC03}"/>
  </bookViews>
  <sheets>
    <sheet name="Excellent FF" sheetId="10" r:id="rId1"/>
    <sheet name="Good FF" sheetId="9" r:id="rId2"/>
    <sheet name="Cul-De-Sac" sheetId="8" r:id="rId3"/>
    <sheet name="Cty Good FF" sheetId="7" r:id="rId4"/>
    <sheet name="66th St FF" sheetId="6" r:id="rId5"/>
    <sheet name="110 Clearbrook &amp; 165 Gas Light" sheetId="5" r:id="rId6"/>
    <sheet name="391 Singapore Trl &amp; 255 Maple G" sheetId="4" r:id="rId7"/>
    <sheet name="344 Sanctuary &amp; 265 Meadowargus" sheetId="3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7" l="1"/>
  <c r="K10" i="3"/>
  <c r="K5" i="3"/>
  <c r="K4" i="3"/>
  <c r="K3" i="3"/>
  <c r="S3" i="3" s="1"/>
  <c r="K2" i="3"/>
  <c r="Q2" i="3" s="1"/>
  <c r="K4" i="4"/>
  <c r="Q4" i="4" s="1"/>
  <c r="K10" i="5"/>
  <c r="K3" i="5"/>
  <c r="S3" i="5" s="1"/>
  <c r="M11" i="7"/>
  <c r="M12" i="7" s="1"/>
  <c r="K3" i="7"/>
  <c r="Q4" i="7"/>
  <c r="K4" i="8"/>
  <c r="R4" i="8" s="1"/>
  <c r="K2" i="8"/>
  <c r="I4" i="9"/>
  <c r="K4" i="9"/>
  <c r="Q4" i="9" s="1"/>
  <c r="R4" i="9"/>
  <c r="S4" i="9"/>
  <c r="K15" i="9"/>
  <c r="S15" i="9" s="1"/>
  <c r="I15" i="9"/>
  <c r="K24" i="10"/>
  <c r="R24" i="10" s="1"/>
  <c r="I24" i="10"/>
  <c r="K23" i="10"/>
  <c r="R23" i="10" s="1"/>
  <c r="I23" i="10"/>
  <c r="K5" i="10"/>
  <c r="Q5" i="10" s="1"/>
  <c r="K6" i="10"/>
  <c r="R6" i="10" s="1"/>
  <c r="P11" i="10"/>
  <c r="O11" i="10"/>
  <c r="M11" i="10"/>
  <c r="L11" i="10"/>
  <c r="J11" i="10"/>
  <c r="H11" i="10"/>
  <c r="G11" i="10"/>
  <c r="D11" i="10"/>
  <c r="K22" i="10"/>
  <c r="R22" i="10" s="1"/>
  <c r="I22" i="10"/>
  <c r="K10" i="10"/>
  <c r="S10" i="10" s="1"/>
  <c r="I10" i="10"/>
  <c r="K9" i="10"/>
  <c r="S9" i="10" s="1"/>
  <c r="I9" i="10"/>
  <c r="K8" i="10"/>
  <c r="S8" i="10" s="1"/>
  <c r="I8" i="10"/>
  <c r="K7" i="10"/>
  <c r="R7" i="10" s="1"/>
  <c r="I7" i="10"/>
  <c r="I6" i="10"/>
  <c r="I5" i="10"/>
  <c r="K4" i="10"/>
  <c r="Q4" i="10" s="1"/>
  <c r="I4" i="10"/>
  <c r="K3" i="10"/>
  <c r="Q3" i="10" s="1"/>
  <c r="I3" i="10"/>
  <c r="K2" i="10"/>
  <c r="R2" i="10" s="1"/>
  <c r="I2" i="10"/>
  <c r="P7" i="9"/>
  <c r="O7" i="9"/>
  <c r="M7" i="9"/>
  <c r="L7" i="9"/>
  <c r="J7" i="9"/>
  <c r="H7" i="9"/>
  <c r="G7" i="9"/>
  <c r="D7" i="9"/>
  <c r="K6" i="9"/>
  <c r="S6" i="9" s="1"/>
  <c r="I6" i="9"/>
  <c r="K5" i="9"/>
  <c r="S5" i="9" s="1"/>
  <c r="I5" i="9"/>
  <c r="K3" i="9"/>
  <c r="I3" i="9"/>
  <c r="K2" i="9"/>
  <c r="Q2" i="9" s="1"/>
  <c r="I2" i="9"/>
  <c r="P5" i="8"/>
  <c r="O5" i="8"/>
  <c r="M5" i="8"/>
  <c r="L5" i="8"/>
  <c r="J5" i="8"/>
  <c r="H5" i="8"/>
  <c r="I6" i="8" s="1"/>
  <c r="G5" i="8"/>
  <c r="D5" i="8"/>
  <c r="I4" i="8"/>
  <c r="K3" i="8"/>
  <c r="R3" i="8" s="1"/>
  <c r="I3" i="8"/>
  <c r="R2" i="8"/>
  <c r="I2" i="8"/>
  <c r="P5" i="7"/>
  <c r="O5" i="7"/>
  <c r="M5" i="7"/>
  <c r="L5" i="7"/>
  <c r="J5" i="7"/>
  <c r="H5" i="7"/>
  <c r="G5" i="7"/>
  <c r="D5" i="7"/>
  <c r="I4" i="7"/>
  <c r="I7" i="7" s="1"/>
  <c r="S3" i="7"/>
  <c r="I3" i="7"/>
  <c r="K2" i="7"/>
  <c r="S2" i="7" s="1"/>
  <c r="I2" i="7"/>
  <c r="P4" i="6"/>
  <c r="O4" i="6"/>
  <c r="M4" i="6"/>
  <c r="L4" i="6"/>
  <c r="J4" i="6"/>
  <c r="H4" i="6"/>
  <c r="G4" i="6"/>
  <c r="D4" i="6"/>
  <c r="K3" i="6"/>
  <c r="Q3" i="6" s="1"/>
  <c r="I3" i="6"/>
  <c r="K2" i="6"/>
  <c r="R2" i="6" s="1"/>
  <c r="I2" i="6"/>
  <c r="P6" i="5"/>
  <c r="O6" i="5"/>
  <c r="M6" i="5"/>
  <c r="L6" i="5"/>
  <c r="J6" i="5"/>
  <c r="H6" i="5"/>
  <c r="G6" i="5"/>
  <c r="D6" i="5"/>
  <c r="K5" i="5"/>
  <c r="S5" i="5" s="1"/>
  <c r="I5" i="5"/>
  <c r="K4" i="5"/>
  <c r="S4" i="5" s="1"/>
  <c r="I4" i="5"/>
  <c r="I3" i="5"/>
  <c r="K2" i="5"/>
  <c r="R2" i="5" s="1"/>
  <c r="I2" i="5"/>
  <c r="P6" i="4"/>
  <c r="O6" i="4"/>
  <c r="M6" i="4"/>
  <c r="L6" i="4"/>
  <c r="J6" i="4"/>
  <c r="H6" i="4"/>
  <c r="G6" i="4"/>
  <c r="D6" i="4"/>
  <c r="K5" i="4"/>
  <c r="S5" i="4" s="1"/>
  <c r="I5" i="4"/>
  <c r="S4" i="4"/>
  <c r="I4" i="4"/>
  <c r="K3" i="4"/>
  <c r="S3" i="4" s="1"/>
  <c r="I3" i="4"/>
  <c r="I8" i="4" s="1"/>
  <c r="K2" i="4"/>
  <c r="R2" i="4" s="1"/>
  <c r="I2" i="4"/>
  <c r="P6" i="3"/>
  <c r="O6" i="3"/>
  <c r="M6" i="3"/>
  <c r="L6" i="3"/>
  <c r="J6" i="3"/>
  <c r="H6" i="3"/>
  <c r="G6" i="3"/>
  <c r="D6" i="3"/>
  <c r="Q5" i="3"/>
  <c r="I5" i="3"/>
  <c r="R4" i="3"/>
  <c r="I4" i="3"/>
  <c r="I3" i="3"/>
  <c r="I2" i="3"/>
  <c r="K10" i="4" l="1"/>
  <c r="I8" i="5"/>
  <c r="I5" i="6"/>
  <c r="I6" i="6"/>
  <c r="Q15" i="9"/>
  <c r="R15" i="9"/>
  <c r="S24" i="10"/>
  <c r="S23" i="10"/>
  <c r="Q24" i="10"/>
  <c r="Q23" i="10"/>
  <c r="S4" i="10"/>
  <c r="R4" i="10"/>
  <c r="S6" i="10"/>
  <c r="S22" i="10"/>
  <c r="Q9" i="10"/>
  <c r="R9" i="10"/>
  <c r="S7" i="10"/>
  <c r="S2" i="10"/>
  <c r="I13" i="10"/>
  <c r="Q8" i="10"/>
  <c r="R8" i="10"/>
  <c r="I12" i="10"/>
  <c r="R3" i="10"/>
  <c r="S3" i="10"/>
  <c r="I9" i="9"/>
  <c r="Q6" i="9"/>
  <c r="R6" i="9"/>
  <c r="K7" i="9"/>
  <c r="M9" i="9" s="1"/>
  <c r="Q5" i="9"/>
  <c r="R5" i="9"/>
  <c r="I8" i="9"/>
  <c r="R2" i="9"/>
  <c r="S2" i="9"/>
  <c r="I7" i="8"/>
  <c r="S3" i="8"/>
  <c r="S2" i="8"/>
  <c r="S4" i="8"/>
  <c r="I6" i="7"/>
  <c r="Q3" i="7"/>
  <c r="Q2" i="7"/>
  <c r="R4" i="7"/>
  <c r="S4" i="7"/>
  <c r="R3" i="7"/>
  <c r="Q5" i="5"/>
  <c r="I7" i="5"/>
  <c r="Q3" i="4"/>
  <c r="R3" i="4"/>
  <c r="Q5" i="4"/>
  <c r="R5" i="4"/>
  <c r="I7" i="4"/>
  <c r="R4" i="4"/>
  <c r="I7" i="3"/>
  <c r="R2" i="3"/>
  <c r="S2" i="3"/>
  <c r="I8" i="3"/>
  <c r="Q7" i="10"/>
  <c r="Q22" i="10"/>
  <c r="K11" i="10"/>
  <c r="R5" i="10"/>
  <c r="S5" i="10"/>
  <c r="Q10" i="10"/>
  <c r="Q2" i="10"/>
  <c r="Q6" i="10"/>
  <c r="R10" i="10"/>
  <c r="Q3" i="9"/>
  <c r="R3" i="9"/>
  <c r="S3" i="9"/>
  <c r="K5" i="8"/>
  <c r="Q2" i="8"/>
  <c r="Q3" i="8"/>
  <c r="Q4" i="8"/>
  <c r="K5" i="7"/>
  <c r="R2" i="7"/>
  <c r="S2" i="6"/>
  <c r="K4" i="6"/>
  <c r="R3" i="6"/>
  <c r="S3" i="6"/>
  <c r="Q2" i="6"/>
  <c r="Q2" i="5"/>
  <c r="K6" i="5"/>
  <c r="S2" i="5"/>
  <c r="R5" i="5"/>
  <c r="Q3" i="5"/>
  <c r="R3" i="5"/>
  <c r="Q4" i="5"/>
  <c r="R4" i="5"/>
  <c r="K6" i="4"/>
  <c r="S2" i="4"/>
  <c r="Q2" i="4"/>
  <c r="R5" i="3"/>
  <c r="Q3" i="3"/>
  <c r="R3" i="3"/>
  <c r="S5" i="3"/>
  <c r="Q4" i="3"/>
  <c r="K6" i="3"/>
  <c r="S4" i="3"/>
  <c r="P9" i="9" l="1"/>
  <c r="S9" i="9"/>
  <c r="P13" i="10"/>
  <c r="M13" i="10"/>
  <c r="S13" i="10"/>
  <c r="S7" i="8"/>
  <c r="P7" i="8"/>
  <c r="M7" i="8"/>
  <c r="S7" i="7"/>
  <c r="P7" i="7"/>
  <c r="M7" i="7"/>
  <c r="S6" i="6"/>
  <c r="P6" i="6"/>
  <c r="M6" i="6"/>
  <c r="S8" i="5"/>
  <c r="P8" i="5"/>
  <c r="M8" i="5"/>
  <c r="S8" i="4"/>
  <c r="P8" i="4"/>
  <c r="M8" i="4"/>
  <c r="M8" i="3"/>
  <c r="S8" i="3"/>
  <c r="P8" i="3"/>
</calcChain>
</file>

<file path=xl/sharedStrings.xml><?xml version="1.0" encoding="utf-8"?>
<sst xmlns="http://schemas.openxmlformats.org/spreadsheetml/2006/main" count="816" uniqueCount="175">
  <si>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</si>
  <si>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</si>
  <si>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</si>
  <si>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</si>
  <si>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</si>
  <si>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</si>
  <si>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</si>
  <si>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</si>
  <si>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</si>
  <si>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</si>
  <si>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</si>
  <si>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</si>
  <si>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</si>
  <si>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</si>
  <si>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</si>
  <si>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</si>
  <si>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</si>
  <si>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</si>
  <si>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</si>
  <si>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</si>
  <si>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</si>
  <si>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</si>
  <si>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</si>
  <si>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</si>
  <si>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</si>
  <si>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</si>
  <si>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</si>
  <si>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</si>
  <si>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</si>
  <si>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</si>
  <si>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</si>
  <si>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</si>
  <si>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</si>
  <si>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</si>
  <si>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</si>
  <si>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</si>
  <si>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</si>
  <si>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</si>
  <si>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</si>
  <si>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</si>
  <si>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</si>
  <si>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</si>
  <si>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</si>
  <si>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</si>
  <si>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20-003-033-00</t>
  </si>
  <si>
    <t>3501 65TH ST</t>
  </si>
  <si>
    <t>WD</t>
  </si>
  <si>
    <t>03-ARM'S LENGTH</t>
  </si>
  <si>
    <t>SBN</t>
  </si>
  <si>
    <t>4878/635</t>
  </si>
  <si>
    <t>SBN - SUBURBAN NORTH</t>
  </si>
  <si>
    <t>RES VAC</t>
  </si>
  <si>
    <t>402</t>
  </si>
  <si>
    <t>GOOD FF</t>
  </si>
  <si>
    <t>20-003-044-40</t>
  </si>
  <si>
    <t>3501 64TH ST</t>
  </si>
  <si>
    <t>4808/847</t>
  </si>
  <si>
    <t>RES 1 FAMILY</t>
  </si>
  <si>
    <t>401</t>
  </si>
  <si>
    <t>NOT INSPECTED</t>
  </si>
  <si>
    <t>20-003-063-17</t>
  </si>
  <si>
    <t>3487 66TH ST</t>
  </si>
  <si>
    <t>4784/626</t>
  </si>
  <si>
    <t>CTY ABOVE GOOD</t>
  </si>
  <si>
    <t>20-003-065-02</t>
  </si>
  <si>
    <t>66TH ST V/L</t>
  </si>
  <si>
    <t>4929/319</t>
  </si>
  <si>
    <t>20-003-085-30</t>
  </si>
  <si>
    <t>6405 DANIEL DRIVE</t>
  </si>
  <si>
    <t>4827/475</t>
  </si>
  <si>
    <t xml:space="preserve">EXCELLENT FF </t>
  </si>
  <si>
    <t>20-003-093-02</t>
  </si>
  <si>
    <t>3437 64TH ST</t>
  </si>
  <si>
    <t>4840/879</t>
  </si>
  <si>
    <t>20-003-093-03</t>
  </si>
  <si>
    <t>64TH ST</t>
  </si>
  <si>
    <t>4913/205</t>
  </si>
  <si>
    <t>20-010-045-01</t>
  </si>
  <si>
    <t>3269 N MAPLE</t>
  </si>
  <si>
    <t>4884/194</t>
  </si>
  <si>
    <t>CTY GOOD</t>
  </si>
  <si>
    <t>20-010-048-00</t>
  </si>
  <si>
    <t>191 S MAPLE ST</t>
  </si>
  <si>
    <t>4827/418</t>
  </si>
  <si>
    <t>20-015-012-00</t>
  </si>
  <si>
    <t>511 S MAPLE ST</t>
  </si>
  <si>
    <t>4866/313</t>
  </si>
  <si>
    <t>20-022-001-70</t>
  </si>
  <si>
    <t>2932 PEACH CREEK CT</t>
  </si>
  <si>
    <t>19-MULTI PARCEL ARM'S LENGTH</t>
  </si>
  <si>
    <t>4774/260</t>
  </si>
  <si>
    <t>20-023-013-90</t>
  </si>
  <si>
    <t>20-090-006-00</t>
  </si>
  <si>
    <t>3357 CLEARVIEW LANE</t>
  </si>
  <si>
    <t>4796/948</t>
  </si>
  <si>
    <t>20-090-014-00</t>
  </si>
  <si>
    <t>3341 CLEARVIEW LN</t>
  </si>
  <si>
    <t>4766/253</t>
  </si>
  <si>
    <t>20-105-003-00</t>
  </si>
  <si>
    <t>3443 CLEARBROOK CT</t>
  </si>
  <si>
    <t xml:space="preserve">WD </t>
  </si>
  <si>
    <t>4776/744</t>
  </si>
  <si>
    <t>RES DUPLEX</t>
  </si>
  <si>
    <t>20-110-020-00</t>
  </si>
  <si>
    <t>3358 CLEARBROOK GREEN #20</t>
  </si>
  <si>
    <t>4818/249</t>
  </si>
  <si>
    <t>20-165-011-00</t>
  </si>
  <si>
    <t>3352 GASLIGHT LN</t>
  </si>
  <si>
    <t>4793/789</t>
  </si>
  <si>
    <t>4900/630</t>
  </si>
  <si>
    <t>20-180-022-00</t>
  </si>
  <si>
    <t>6404 135TH AVE</t>
  </si>
  <si>
    <t>4849/674</t>
  </si>
  <si>
    <t>20-250-003-00</t>
  </si>
  <si>
    <t>3420 MAPLE GATE DR</t>
  </si>
  <si>
    <t>4915/771</t>
  </si>
  <si>
    <t>20-250-008-00</t>
  </si>
  <si>
    <t>3440 MAPLE GATE DR</t>
  </si>
  <si>
    <t>4753/620</t>
  </si>
  <si>
    <t>CUL-DE-SAC</t>
  </si>
  <si>
    <t>20-250-024-00</t>
  </si>
  <si>
    <t>6427 PALMETTO CT</t>
  </si>
  <si>
    <t>4806/544</t>
  </si>
  <si>
    <t>20-265-020-00</t>
  </si>
  <si>
    <t>2958 COLFAX COURT</t>
  </si>
  <si>
    <t>4792/151</t>
  </si>
  <si>
    <t>20-265-030-00</t>
  </si>
  <si>
    <t>6696 YAMOTO WAY</t>
  </si>
  <si>
    <t>4788/383</t>
  </si>
  <si>
    <t>4874/701</t>
  </si>
  <si>
    <t>20-265-060-00</t>
  </si>
  <si>
    <t>6691 YAMOTO WAY</t>
  </si>
  <si>
    <t>4770/118</t>
  </si>
  <si>
    <t>20-285-014-00</t>
  </si>
  <si>
    <t>6283 HAWTHORNE COURT</t>
  </si>
  <si>
    <t>4888/476</t>
  </si>
  <si>
    <t>20-290-007-00</t>
  </si>
  <si>
    <t>3486 WKAMA WAY</t>
  </si>
  <si>
    <t>4819/802</t>
  </si>
  <si>
    <t>20-290-017-00</t>
  </si>
  <si>
    <t>6444 OTOTEMAN TR</t>
  </si>
  <si>
    <t>4780 362</t>
  </si>
  <si>
    <t>20-343-015-00</t>
  </si>
  <si>
    <t>3524 KEPPEL LN</t>
  </si>
  <si>
    <t>4797/740</t>
  </si>
  <si>
    <t>4913/597</t>
  </si>
  <si>
    <t>20-343-019-00</t>
  </si>
  <si>
    <t>3519 KEPPEL LANE</t>
  </si>
  <si>
    <t>4801/838</t>
  </si>
  <si>
    <t>4839/681</t>
  </si>
  <si>
    <t>20-343-022-00</t>
  </si>
  <si>
    <t>6400 SAMBROEK LANE</t>
  </si>
  <si>
    <t>4822/247</t>
  </si>
  <si>
    <t>20-380-008-00</t>
  </si>
  <si>
    <t>3416 ELIZABETH ST</t>
  </si>
  <si>
    <t>4869/474</t>
  </si>
  <si>
    <t>20-391-004-00</t>
  </si>
  <si>
    <t>6568 OLD SINGAPORE TR</t>
  </si>
  <si>
    <t>4799/622</t>
  </si>
  <si>
    <t>20-391-018-00</t>
  </si>
  <si>
    <t>6528 OLD SINGAPORE TR</t>
  </si>
  <si>
    <t>4898/342</t>
  </si>
  <si>
    <t>20-391-019-00</t>
  </si>
  <si>
    <t>6508 OLD SINGAPORE TR</t>
  </si>
  <si>
    <t>4899/132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</si>
  <si>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</si>
  <si>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</si>
  <si>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</si>
  <si>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</si>
  <si>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</si>
  <si>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</si>
  <si>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</si>
  <si>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FF Rate</t>
  </si>
  <si>
    <t>Calculated Site Value</t>
  </si>
  <si>
    <t>Concluded Site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</si>
</sst>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6" fontId="0" fillId="0" borderId="0" xfId="0" applyNumberFormat="1" applyAlignment="1">
      <alignment horizontal="right"/>
    </xf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166" fontId="0" fillId="4" borderId="0" xfId="0" applyNumberFormat="1" applyFill="1"/>
    <xf numFmtId="9" fontId="0" fillId="0" borderId="0" xfId="1" applyFont="1"/>
    <xf numFmtId="164" fontId="0" fillId="4" borderId="0" xfId="0" applyNumberFormat="1" applyFill="1"/>
  </cellXfs>
  <cellStyles count="2">
    <cellStyle name="Normal" xfId="0" builtinId="0"/>
    <cellStyle name="Percent" xfId="1" builtinId="5"/>
  </cellStyles>
  <dxfs count="18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FB22-1EEE-4583-8F2E-0C854835E8B6}">
  <dimension ref="A1:BL24"/>
  <sheetViews>
    <sheetView workbookViewId="0">
      <selection activeCell="M15" sqref="K15:M15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67</v>
      </c>
      <c r="B2" t="s">
        <v>68</v>
      </c>
      <c r="C2" s="25">
        <v>44924</v>
      </c>
      <c r="D2" s="15">
        <v>677000</v>
      </c>
      <c r="E2" t="s">
        <v>46</v>
      </c>
      <c r="F2" t="s">
        <v>47</v>
      </c>
      <c r="G2" s="15">
        <v>677000</v>
      </c>
      <c r="H2" s="15">
        <v>251500</v>
      </c>
      <c r="I2" s="20">
        <f t="shared" ref="I2:I10" si="0">H2/G2*100</f>
        <v>37.149187592319052</v>
      </c>
      <c r="J2" s="15">
        <v>648036</v>
      </c>
      <c r="K2" s="15">
        <f>G2-513136</f>
        <v>163864</v>
      </c>
      <c r="L2" s="15">
        <v>134900</v>
      </c>
      <c r="M2" s="30">
        <v>190</v>
      </c>
      <c r="N2" s="34">
        <v>334</v>
      </c>
      <c r="O2" s="39">
        <v>1.4570000000000001</v>
      </c>
      <c r="P2" s="39">
        <v>1.4570000000000001</v>
      </c>
      <c r="Q2" s="15">
        <f t="shared" ref="Q2:Q10" si="1">K2/M2</f>
        <v>862.44210526315794</v>
      </c>
      <c r="R2" s="15">
        <f t="shared" ref="R2:R10" si="2">K2/O2</f>
        <v>112466.71242278654</v>
      </c>
      <c r="S2" s="44">
        <f t="shared" ref="S2:S10" si="3">K2/O2/43560</f>
        <v>2.5818804504771933</v>
      </c>
      <c r="T2" s="39">
        <v>190</v>
      </c>
      <c r="U2" s="5" t="s">
        <v>48</v>
      </c>
      <c r="V2" t="s">
        <v>69</v>
      </c>
      <c r="X2" t="s">
        <v>50</v>
      </c>
      <c r="Y2">
        <v>0</v>
      </c>
      <c r="Z2">
        <v>1</v>
      </c>
      <c r="AA2" s="6">
        <v>45420</v>
      </c>
      <c r="AB2" t="s">
        <v>57</v>
      </c>
      <c r="AC2" s="7" t="s">
        <v>58</v>
      </c>
      <c r="AD2" t="s">
        <v>70</v>
      </c>
    </row>
    <row r="3" spans="1:64" x14ac:dyDescent="0.25">
      <c r="A3" t="s">
        <v>71</v>
      </c>
      <c r="B3" t="s">
        <v>72</v>
      </c>
      <c r="C3" s="25">
        <v>44988</v>
      </c>
      <c r="D3" s="15">
        <v>535000</v>
      </c>
      <c r="E3" t="s">
        <v>46</v>
      </c>
      <c r="F3" t="s">
        <v>47</v>
      </c>
      <c r="G3" s="15">
        <v>535000</v>
      </c>
      <c r="H3" s="15">
        <v>0</v>
      </c>
      <c r="I3" s="20">
        <f t="shared" si="0"/>
        <v>0</v>
      </c>
      <c r="J3" s="15">
        <v>535896</v>
      </c>
      <c r="K3" s="15">
        <f>G3-429396</f>
        <v>105604</v>
      </c>
      <c r="L3" s="15">
        <v>106500</v>
      </c>
      <c r="M3" s="30">
        <v>150</v>
      </c>
      <c r="N3" s="34">
        <v>326.47000100000002</v>
      </c>
      <c r="O3" s="39">
        <v>1.1240000000000001</v>
      </c>
      <c r="P3" s="39">
        <v>1.1240000000000001</v>
      </c>
      <c r="Q3" s="15">
        <f t="shared" si="1"/>
        <v>704.02666666666664</v>
      </c>
      <c r="R3" s="15">
        <f t="shared" si="2"/>
        <v>93953.736654804263</v>
      </c>
      <c r="S3" s="44">
        <f t="shared" si="3"/>
        <v>2.1568810067677746</v>
      </c>
      <c r="T3" s="39">
        <v>150</v>
      </c>
      <c r="U3" s="5" t="s">
        <v>48</v>
      </c>
      <c r="V3" t="s">
        <v>73</v>
      </c>
      <c r="X3" t="s">
        <v>50</v>
      </c>
      <c r="Y3">
        <v>0</v>
      </c>
      <c r="Z3">
        <v>0</v>
      </c>
      <c r="AA3" s="6">
        <v>45420</v>
      </c>
      <c r="AC3" s="7" t="s">
        <v>58</v>
      </c>
      <c r="AD3" t="s">
        <v>70</v>
      </c>
    </row>
    <row r="4" spans="1:64" x14ac:dyDescent="0.25">
      <c r="A4" t="s">
        <v>87</v>
      </c>
      <c r="B4" t="s">
        <v>88</v>
      </c>
      <c r="C4" s="25">
        <v>44728</v>
      </c>
      <c r="D4" s="15">
        <v>890000</v>
      </c>
      <c r="E4" t="s">
        <v>46</v>
      </c>
      <c r="F4" t="s">
        <v>89</v>
      </c>
      <c r="G4" s="15">
        <v>890000</v>
      </c>
      <c r="H4" s="15">
        <v>426200</v>
      </c>
      <c r="I4" s="20">
        <f t="shared" si="0"/>
        <v>47.887640449438202</v>
      </c>
      <c r="J4" s="15">
        <v>913384</v>
      </c>
      <c r="K4" s="15">
        <f>G4-779956</f>
        <v>110044</v>
      </c>
      <c r="L4" s="15">
        <v>166023</v>
      </c>
      <c r="M4" s="30">
        <v>221.92</v>
      </c>
      <c r="N4" s="34">
        <v>0</v>
      </c>
      <c r="O4" s="39">
        <v>3.59</v>
      </c>
      <c r="P4" s="39">
        <v>3.22</v>
      </c>
      <c r="Q4" s="15">
        <f t="shared" si="1"/>
        <v>495.87238644556601</v>
      </c>
      <c r="R4" s="15">
        <f t="shared" si="2"/>
        <v>30652.924791086352</v>
      </c>
      <c r="S4" s="44">
        <f t="shared" si="3"/>
        <v>0.70369432486424133</v>
      </c>
      <c r="T4" s="39">
        <v>221.92</v>
      </c>
      <c r="U4" s="5" t="s">
        <v>48</v>
      </c>
      <c r="V4" t="s">
        <v>90</v>
      </c>
      <c r="W4" t="s">
        <v>91</v>
      </c>
      <c r="X4" t="s">
        <v>50</v>
      </c>
      <c r="Y4">
        <v>0</v>
      </c>
      <c r="Z4">
        <v>1</v>
      </c>
      <c r="AA4" s="6">
        <v>45447</v>
      </c>
      <c r="AB4" t="s">
        <v>57</v>
      </c>
      <c r="AC4" s="7" t="s">
        <v>58</v>
      </c>
      <c r="AD4" t="s">
        <v>70</v>
      </c>
    </row>
    <row r="5" spans="1:64" x14ac:dyDescent="0.25">
      <c r="A5" t="s">
        <v>92</v>
      </c>
      <c r="B5" t="s">
        <v>93</v>
      </c>
      <c r="C5" s="25">
        <v>44785</v>
      </c>
      <c r="D5" s="15">
        <v>505000</v>
      </c>
      <c r="E5" t="s">
        <v>46</v>
      </c>
      <c r="F5" t="s">
        <v>47</v>
      </c>
      <c r="G5" s="15">
        <v>505000</v>
      </c>
      <c r="H5" s="15">
        <v>176400</v>
      </c>
      <c r="I5" s="20">
        <f t="shared" si="0"/>
        <v>34.930693069306926</v>
      </c>
      <c r="J5" s="15">
        <v>494968</v>
      </c>
      <c r="K5" s="15">
        <f>G5-418120-5848</f>
        <v>81032</v>
      </c>
      <c r="L5" s="15">
        <v>71000</v>
      </c>
      <c r="M5" s="30">
        <v>100</v>
      </c>
      <c r="N5" s="34">
        <v>200</v>
      </c>
      <c r="O5" s="39">
        <v>0.45900000000000002</v>
      </c>
      <c r="P5" s="39">
        <v>0.45900000000000002</v>
      </c>
      <c r="Q5" s="15">
        <f t="shared" si="1"/>
        <v>810.32</v>
      </c>
      <c r="R5" s="15">
        <f t="shared" si="2"/>
        <v>176540.30501089324</v>
      </c>
      <c r="S5" s="44">
        <f t="shared" si="3"/>
        <v>4.052807736705538</v>
      </c>
      <c r="T5" s="39">
        <v>100</v>
      </c>
      <c r="U5" s="5" t="s">
        <v>48</v>
      </c>
      <c r="V5" t="s">
        <v>94</v>
      </c>
      <c r="X5" t="s">
        <v>50</v>
      </c>
      <c r="Y5">
        <v>0</v>
      </c>
      <c r="Z5">
        <v>0</v>
      </c>
      <c r="AA5" s="6">
        <v>45449</v>
      </c>
      <c r="AB5" t="s">
        <v>57</v>
      </c>
      <c r="AC5" s="7" t="s">
        <v>58</v>
      </c>
      <c r="AD5" t="s">
        <v>70</v>
      </c>
    </row>
    <row r="6" spans="1:64" x14ac:dyDescent="0.25">
      <c r="A6" t="s">
        <v>95</v>
      </c>
      <c r="B6" t="s">
        <v>96</v>
      </c>
      <c r="C6" s="25">
        <v>44708</v>
      </c>
      <c r="D6" s="15">
        <v>600000</v>
      </c>
      <c r="E6" t="s">
        <v>46</v>
      </c>
      <c r="F6" t="s">
        <v>47</v>
      </c>
      <c r="G6" s="15">
        <v>600000</v>
      </c>
      <c r="H6" s="15">
        <v>230200</v>
      </c>
      <c r="I6" s="20">
        <f t="shared" si="0"/>
        <v>38.366666666666667</v>
      </c>
      <c r="J6" s="15">
        <v>641841</v>
      </c>
      <c r="K6" s="15">
        <f>G6-550208-20633</f>
        <v>29159</v>
      </c>
      <c r="L6" s="15">
        <v>71000</v>
      </c>
      <c r="M6" s="30">
        <v>100</v>
      </c>
      <c r="N6" s="34">
        <v>200</v>
      </c>
      <c r="O6" s="39">
        <v>0.45900000000000002</v>
      </c>
      <c r="P6" s="39">
        <v>0.45900000000000002</v>
      </c>
      <c r="Q6" s="15">
        <f t="shared" si="1"/>
        <v>291.58999999999997</v>
      </c>
      <c r="R6" s="15">
        <f t="shared" si="2"/>
        <v>63527.233115468407</v>
      </c>
      <c r="S6" s="44">
        <f t="shared" si="3"/>
        <v>1.4583845986103858</v>
      </c>
      <c r="T6" s="39">
        <v>100</v>
      </c>
      <c r="U6" s="5" t="s">
        <v>48</v>
      </c>
      <c r="V6" t="s">
        <v>97</v>
      </c>
      <c r="X6" t="s">
        <v>50</v>
      </c>
      <c r="Y6">
        <v>0</v>
      </c>
      <c r="Z6">
        <v>0</v>
      </c>
      <c r="AA6" s="6">
        <v>45449</v>
      </c>
      <c r="AB6" t="s">
        <v>57</v>
      </c>
      <c r="AC6" s="7" t="s">
        <v>58</v>
      </c>
      <c r="AD6" t="s">
        <v>70</v>
      </c>
    </row>
    <row r="7" spans="1:64" x14ac:dyDescent="0.25">
      <c r="A7" t="s">
        <v>113</v>
      </c>
      <c r="B7" t="s">
        <v>114</v>
      </c>
      <c r="C7" s="25">
        <v>45307</v>
      </c>
      <c r="D7" s="15">
        <v>425560</v>
      </c>
      <c r="E7" t="s">
        <v>46</v>
      </c>
      <c r="F7" t="s">
        <v>47</v>
      </c>
      <c r="G7" s="15">
        <v>425560</v>
      </c>
      <c r="H7" s="15">
        <v>203400</v>
      </c>
      <c r="I7" s="20">
        <f t="shared" si="0"/>
        <v>47.7958454741987</v>
      </c>
      <c r="J7" s="15">
        <v>459986</v>
      </c>
      <c r="K7" s="15">
        <f>G7-387566</f>
        <v>37994</v>
      </c>
      <c r="L7" s="15">
        <v>72420</v>
      </c>
      <c r="M7" s="30">
        <v>102</v>
      </c>
      <c r="N7" s="34">
        <v>210</v>
      </c>
      <c r="O7" s="39">
        <v>0.49199999999999999</v>
      </c>
      <c r="P7" s="39">
        <v>0.49199999999999999</v>
      </c>
      <c r="Q7" s="15">
        <f t="shared" si="1"/>
        <v>372.49019607843138</v>
      </c>
      <c r="R7" s="15">
        <f t="shared" si="2"/>
        <v>77223.577235772362</v>
      </c>
      <c r="S7" s="44">
        <f t="shared" si="3"/>
        <v>1.7728093947606143</v>
      </c>
      <c r="T7" s="39">
        <v>102</v>
      </c>
      <c r="U7" s="5" t="s">
        <v>48</v>
      </c>
      <c r="V7" t="s">
        <v>115</v>
      </c>
      <c r="X7" t="s">
        <v>50</v>
      </c>
      <c r="Y7">
        <v>0</v>
      </c>
      <c r="Z7">
        <v>1</v>
      </c>
      <c r="AA7" s="6">
        <v>45468</v>
      </c>
      <c r="AB7" t="s">
        <v>57</v>
      </c>
      <c r="AC7" s="7" t="s">
        <v>58</v>
      </c>
      <c r="AD7" t="s">
        <v>70</v>
      </c>
    </row>
    <row r="8" spans="1:64" x14ac:dyDescent="0.25">
      <c r="A8" t="s">
        <v>120</v>
      </c>
      <c r="B8" t="s">
        <v>121</v>
      </c>
      <c r="C8" s="25">
        <v>44839</v>
      </c>
      <c r="D8" s="15">
        <v>450000</v>
      </c>
      <c r="E8" t="s">
        <v>46</v>
      </c>
      <c r="F8" t="s">
        <v>47</v>
      </c>
      <c r="G8" s="15">
        <v>450000</v>
      </c>
      <c r="H8" s="15">
        <v>213900</v>
      </c>
      <c r="I8" s="20">
        <f t="shared" si="0"/>
        <v>47.533333333333331</v>
      </c>
      <c r="J8" s="15">
        <v>459677</v>
      </c>
      <c r="K8" s="15">
        <f>G8-378027</f>
        <v>71973</v>
      </c>
      <c r="L8" s="15">
        <v>81650</v>
      </c>
      <c r="M8" s="30">
        <v>115</v>
      </c>
      <c r="N8" s="34">
        <v>200</v>
      </c>
      <c r="O8" s="39">
        <v>0.52800000000000002</v>
      </c>
      <c r="P8" s="39">
        <v>0.52800000000000002</v>
      </c>
      <c r="Q8" s="15">
        <f t="shared" si="1"/>
        <v>625.85217391304343</v>
      </c>
      <c r="R8" s="15">
        <f t="shared" si="2"/>
        <v>136312.5</v>
      </c>
      <c r="S8" s="44">
        <f t="shared" si="3"/>
        <v>3.1293044077134988</v>
      </c>
      <c r="T8" s="39">
        <v>115</v>
      </c>
      <c r="U8" s="5" t="s">
        <v>48</v>
      </c>
      <c r="V8" t="s">
        <v>122</v>
      </c>
      <c r="X8" t="s">
        <v>50</v>
      </c>
      <c r="Y8">
        <v>0</v>
      </c>
      <c r="Z8">
        <v>1</v>
      </c>
      <c r="AA8" s="6">
        <v>45471</v>
      </c>
      <c r="AB8" t="s">
        <v>57</v>
      </c>
      <c r="AC8" s="7" t="s">
        <v>58</v>
      </c>
      <c r="AD8" t="s">
        <v>70</v>
      </c>
    </row>
    <row r="9" spans="1:64" x14ac:dyDescent="0.25">
      <c r="A9" t="s">
        <v>133</v>
      </c>
      <c r="B9" t="s">
        <v>134</v>
      </c>
      <c r="C9" s="25">
        <v>45170</v>
      </c>
      <c r="D9" s="15">
        <v>600000</v>
      </c>
      <c r="E9" t="s">
        <v>46</v>
      </c>
      <c r="F9" t="s">
        <v>47</v>
      </c>
      <c r="G9" s="15">
        <v>600000</v>
      </c>
      <c r="H9" s="15">
        <v>236000</v>
      </c>
      <c r="I9" s="20">
        <f t="shared" si="0"/>
        <v>39.333333333333329</v>
      </c>
      <c r="J9" s="15">
        <v>634090</v>
      </c>
      <c r="K9" s="15">
        <f>G9-555990</f>
        <v>44010</v>
      </c>
      <c r="L9" s="15">
        <v>78100</v>
      </c>
      <c r="M9" s="30">
        <v>110</v>
      </c>
      <c r="N9" s="34">
        <v>195</v>
      </c>
      <c r="O9" s="39">
        <v>0.49199999999999999</v>
      </c>
      <c r="P9" s="39">
        <v>0.49199999999999999</v>
      </c>
      <c r="Q9" s="15">
        <f t="shared" si="1"/>
        <v>400.09090909090907</v>
      </c>
      <c r="R9" s="15">
        <f t="shared" si="2"/>
        <v>89451.219512195123</v>
      </c>
      <c r="S9" s="44">
        <f t="shared" si="3"/>
        <v>2.0535174360008064</v>
      </c>
      <c r="T9" s="39">
        <v>110</v>
      </c>
      <c r="U9" s="5" t="s">
        <v>48</v>
      </c>
      <c r="V9" t="s">
        <v>135</v>
      </c>
      <c r="X9" t="s">
        <v>50</v>
      </c>
      <c r="Y9">
        <v>0</v>
      </c>
      <c r="Z9">
        <v>1</v>
      </c>
      <c r="AA9" s="6">
        <v>45491</v>
      </c>
      <c r="AB9" t="s">
        <v>57</v>
      </c>
      <c r="AC9" s="7" t="s">
        <v>58</v>
      </c>
      <c r="AD9" t="s">
        <v>70</v>
      </c>
    </row>
    <row r="10" spans="1:64" ht="15.75" thickBot="1" x14ac:dyDescent="0.3">
      <c r="A10" t="s">
        <v>136</v>
      </c>
      <c r="B10" t="s">
        <v>137</v>
      </c>
      <c r="C10" s="25">
        <v>44893</v>
      </c>
      <c r="D10" s="15">
        <v>435000</v>
      </c>
      <c r="E10" t="s">
        <v>46</v>
      </c>
      <c r="F10" t="s">
        <v>47</v>
      </c>
      <c r="G10" s="15">
        <v>435000</v>
      </c>
      <c r="H10" s="15">
        <v>185900</v>
      </c>
      <c r="I10" s="20">
        <f t="shared" si="0"/>
        <v>42.735632183908045</v>
      </c>
      <c r="J10" s="15">
        <v>472861</v>
      </c>
      <c r="K10" s="15">
        <f>G10-393845</f>
        <v>41155</v>
      </c>
      <c r="L10" s="15">
        <v>79016</v>
      </c>
      <c r="M10" s="30">
        <v>111.29</v>
      </c>
      <c r="N10" s="34">
        <v>207</v>
      </c>
      <c r="O10" s="39">
        <v>0.52900000000000003</v>
      </c>
      <c r="P10" s="39">
        <v>0.52900000000000003</v>
      </c>
      <c r="Q10" s="15">
        <f t="shared" si="1"/>
        <v>369.79962260760175</v>
      </c>
      <c r="R10" s="15">
        <f t="shared" si="2"/>
        <v>77797.731568998104</v>
      </c>
      <c r="S10" s="44">
        <f t="shared" si="3"/>
        <v>1.7859901645775507</v>
      </c>
      <c r="T10" s="39">
        <v>111.29</v>
      </c>
      <c r="U10" s="5" t="s">
        <v>48</v>
      </c>
      <c r="V10" t="s">
        <v>138</v>
      </c>
      <c r="X10" t="s">
        <v>50</v>
      </c>
      <c r="Y10">
        <v>0</v>
      </c>
      <c r="Z10">
        <v>0</v>
      </c>
      <c r="AA10" s="6">
        <v>45492</v>
      </c>
      <c r="AB10" t="s">
        <v>57</v>
      </c>
      <c r="AC10" s="7" t="s">
        <v>58</v>
      </c>
      <c r="AD10" t="s">
        <v>70</v>
      </c>
    </row>
    <row r="11" spans="1:64" ht="15.75" thickTop="1" x14ac:dyDescent="0.25">
      <c r="A11" s="8"/>
      <c r="B11" s="8"/>
      <c r="C11" s="26" t="s">
        <v>165</v>
      </c>
      <c r="D11" s="16">
        <f>+SUM(D2:D10)</f>
        <v>5117560</v>
      </c>
      <c r="E11" s="8"/>
      <c r="F11" s="8"/>
      <c r="G11" s="16">
        <f>+SUM(G2:G10)</f>
        <v>5117560</v>
      </c>
      <c r="H11" s="16">
        <f>+SUM(H2:H10)</f>
        <v>1923500</v>
      </c>
      <c r="I11" s="21"/>
      <c r="J11" s="16">
        <f>+SUM(J2:J10)</f>
        <v>5260739</v>
      </c>
      <c r="K11" s="16">
        <f>+SUM(K2:K10)</f>
        <v>684835</v>
      </c>
      <c r="L11" s="16">
        <f>+SUM(L2:L10)</f>
        <v>860609</v>
      </c>
      <c r="M11" s="31">
        <f>+SUM(M2:M10)</f>
        <v>1200.21</v>
      </c>
      <c r="N11" s="35"/>
      <c r="O11" s="40">
        <f>+SUM(O2:O10)</f>
        <v>9.129999999999999</v>
      </c>
      <c r="P11" s="40">
        <f>+SUM(P2:P10)</f>
        <v>8.759999999999998</v>
      </c>
      <c r="Q11" s="16"/>
      <c r="R11" s="16"/>
      <c r="S11" s="45"/>
      <c r="T11" s="40"/>
      <c r="U11" s="9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64" x14ac:dyDescent="0.25">
      <c r="A12" s="10"/>
      <c r="B12" s="10"/>
      <c r="C12" s="27"/>
      <c r="D12" s="17"/>
      <c r="E12" s="10"/>
      <c r="F12" s="10"/>
      <c r="G12" s="17"/>
      <c r="H12" s="17" t="s">
        <v>166</v>
      </c>
      <c r="I12" s="22">
        <f>H11/G11*100</f>
        <v>37.586271582551063</v>
      </c>
      <c r="J12" s="17"/>
      <c r="K12" s="17"/>
      <c r="L12" s="17" t="s">
        <v>167</v>
      </c>
      <c r="M12" s="32"/>
      <c r="N12" s="36"/>
      <c r="O12" s="41" t="s">
        <v>167</v>
      </c>
      <c r="P12" s="41"/>
      <c r="Q12" s="17"/>
      <c r="R12" s="17" t="s">
        <v>167</v>
      </c>
      <c r="S12" s="46"/>
      <c r="T12" s="41"/>
      <c r="U12" s="1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64" x14ac:dyDescent="0.25">
      <c r="A13" s="12"/>
      <c r="B13" s="12"/>
      <c r="C13" s="28"/>
      <c r="D13" s="18"/>
      <c r="E13" s="12"/>
      <c r="F13" s="12"/>
      <c r="G13" s="18"/>
      <c r="H13" s="18" t="s">
        <v>168</v>
      </c>
      <c r="I13" s="23">
        <f>STDEV(I2:I10)</f>
        <v>14.827030116645913</v>
      </c>
      <c r="J13" s="18"/>
      <c r="K13" s="18"/>
      <c r="L13" s="18" t="s">
        <v>169</v>
      </c>
      <c r="M13" s="48">
        <f>K11/M11</f>
        <v>570.59597903700183</v>
      </c>
      <c r="N13" s="37"/>
      <c r="O13" s="42" t="s">
        <v>170</v>
      </c>
      <c r="P13" s="42">
        <f>K11/O11</f>
        <v>75009.309967141307</v>
      </c>
      <c r="Q13" s="18"/>
      <c r="R13" s="18" t="s">
        <v>171</v>
      </c>
      <c r="S13" s="47">
        <f>K11/O11/43560</f>
        <v>1.7219768128361181</v>
      </c>
      <c r="T13" s="42"/>
      <c r="U13" s="13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5" spans="1:64" x14ac:dyDescent="0.25">
      <c r="K15" s="50"/>
      <c r="L15" s="51" t="s">
        <v>172</v>
      </c>
      <c r="M15" s="52">
        <v>570</v>
      </c>
    </row>
    <row r="22" spans="1:30" x14ac:dyDescent="0.25">
      <c r="A22" t="s">
        <v>139</v>
      </c>
      <c r="B22" t="s">
        <v>140</v>
      </c>
      <c r="C22" s="25">
        <v>44750</v>
      </c>
      <c r="D22" s="15">
        <v>555000</v>
      </c>
      <c r="E22" t="s">
        <v>100</v>
      </c>
      <c r="F22" t="s">
        <v>47</v>
      </c>
      <c r="G22" s="15">
        <v>555000</v>
      </c>
      <c r="H22" s="15">
        <v>258400</v>
      </c>
      <c r="I22" s="20">
        <f>H22/G22*100</f>
        <v>46.558558558558559</v>
      </c>
      <c r="J22" s="15">
        <v>667101</v>
      </c>
      <c r="K22" s="15">
        <f>G22-582700</f>
        <v>-27700</v>
      </c>
      <c r="L22" s="15">
        <v>84401</v>
      </c>
      <c r="M22" s="30">
        <v>79.25</v>
      </c>
      <c r="N22" s="34">
        <v>297</v>
      </c>
      <c r="O22" s="39">
        <v>0.54</v>
      </c>
      <c r="P22" s="39">
        <v>0.54</v>
      </c>
      <c r="Q22" s="15">
        <f>K22/M22</f>
        <v>-349.52681388012616</v>
      </c>
      <c r="R22" s="15">
        <f>K22/O22</f>
        <v>-51296.296296296292</v>
      </c>
      <c r="S22" s="44">
        <f>K22/O22/43560</f>
        <v>-1.1776009250756725</v>
      </c>
      <c r="T22" s="39">
        <v>79.25</v>
      </c>
      <c r="U22" s="5" t="s">
        <v>48</v>
      </c>
      <c r="V22" t="s">
        <v>141</v>
      </c>
      <c r="X22" t="s">
        <v>50</v>
      </c>
      <c r="Y22">
        <v>0</v>
      </c>
      <c r="Z22">
        <v>1</v>
      </c>
      <c r="AA22" s="6">
        <v>45496</v>
      </c>
      <c r="AB22" t="s">
        <v>57</v>
      </c>
      <c r="AC22" s="7" t="s">
        <v>58</v>
      </c>
      <c r="AD22" t="s">
        <v>70</v>
      </c>
    </row>
    <row r="23" spans="1:30" x14ac:dyDescent="0.25">
      <c r="A23" t="s">
        <v>153</v>
      </c>
      <c r="B23" t="s">
        <v>154</v>
      </c>
      <c r="C23" s="25">
        <v>45107</v>
      </c>
      <c r="D23" s="15">
        <v>212500</v>
      </c>
      <c r="E23" t="s">
        <v>46</v>
      </c>
      <c r="F23" t="s">
        <v>47</v>
      </c>
      <c r="G23" s="15">
        <v>212500</v>
      </c>
      <c r="H23" s="15">
        <v>58000</v>
      </c>
      <c r="I23" s="20">
        <f>H23/G23*100</f>
        <v>27.294117647058826</v>
      </c>
      <c r="J23" s="15">
        <v>146876</v>
      </c>
      <c r="K23" s="15">
        <f>G23-108607</f>
        <v>103893</v>
      </c>
      <c r="L23" s="15">
        <v>38269</v>
      </c>
      <c r="M23" s="30">
        <v>53.9</v>
      </c>
      <c r="N23" s="34">
        <v>120</v>
      </c>
      <c r="O23" s="39">
        <v>0.32800000000000001</v>
      </c>
      <c r="P23" s="39">
        <v>0.32800000000000001</v>
      </c>
      <c r="Q23" s="15">
        <f>K23/M23</f>
        <v>1927.5139146567719</v>
      </c>
      <c r="R23" s="15">
        <f>K23/O23</f>
        <v>316746.95121951221</v>
      </c>
      <c r="S23" s="44">
        <f>K23/O23/43560</f>
        <v>7.2715094403010152</v>
      </c>
      <c r="T23" s="39">
        <v>53.9</v>
      </c>
      <c r="U23" s="5" t="s">
        <v>48</v>
      </c>
      <c r="V23" t="s">
        <v>155</v>
      </c>
      <c r="X23" t="s">
        <v>50</v>
      </c>
      <c r="Y23">
        <v>0</v>
      </c>
      <c r="Z23">
        <v>0</v>
      </c>
      <c r="AA23" s="6">
        <v>45506</v>
      </c>
      <c r="AB23" t="s">
        <v>57</v>
      </c>
      <c r="AC23" s="7" t="s">
        <v>58</v>
      </c>
      <c r="AD23" t="s">
        <v>70</v>
      </c>
    </row>
    <row r="24" spans="1:30" x14ac:dyDescent="0.25">
      <c r="A24" t="s">
        <v>74</v>
      </c>
      <c r="B24" t="s">
        <v>75</v>
      </c>
      <c r="C24" s="25">
        <v>45293</v>
      </c>
      <c r="D24" s="15">
        <v>250000</v>
      </c>
      <c r="E24" t="s">
        <v>46</v>
      </c>
      <c r="F24" t="s">
        <v>47</v>
      </c>
      <c r="G24" s="15">
        <v>250000</v>
      </c>
      <c r="H24" s="15">
        <v>21400</v>
      </c>
      <c r="I24" s="20">
        <f>H24/G24*100</f>
        <v>8.5599999999999987</v>
      </c>
      <c r="J24" s="15">
        <v>106507</v>
      </c>
      <c r="K24" s="15">
        <f>G24-0</f>
        <v>250000</v>
      </c>
      <c r="L24" s="15">
        <v>106507</v>
      </c>
      <c r="M24" s="30">
        <v>150.01</v>
      </c>
      <c r="N24" s="34">
        <v>326.51998900000001</v>
      </c>
      <c r="O24" s="39">
        <v>1.1240000000000001</v>
      </c>
      <c r="P24" s="39">
        <v>1.1240000000000001</v>
      </c>
      <c r="Q24" s="15">
        <f>K24/M24</f>
        <v>1666.5555629624694</v>
      </c>
      <c r="R24" s="15">
        <f>K24/O24</f>
        <v>222419.92882562274</v>
      </c>
      <c r="S24" s="44">
        <f>K24/O24/43560</f>
        <v>5.1060589721217342</v>
      </c>
      <c r="T24" s="39">
        <v>150.01</v>
      </c>
      <c r="U24" s="5" t="s">
        <v>48</v>
      </c>
      <c r="V24" t="s">
        <v>76</v>
      </c>
      <c r="X24" t="s">
        <v>50</v>
      </c>
      <c r="Y24">
        <v>0</v>
      </c>
      <c r="Z24">
        <v>0</v>
      </c>
      <c r="AA24" t="s">
        <v>59</v>
      </c>
      <c r="AC24" s="7" t="s">
        <v>52</v>
      </c>
      <c r="AD24" t="s">
        <v>70</v>
      </c>
    </row>
  </sheetData>
  <conditionalFormatting sqref="A2:AR10 A22:AR24">
    <cfRule type="expression" dxfId="17" priority="1" stopIfTrue="1">
      <formula>MOD(ROW(),4)&gt;1</formula>
    </cfRule>
    <cfRule type="expression" dxfId="16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741E-391C-449B-8E41-4C2A2100492B}">
  <dimension ref="A1:BL15"/>
  <sheetViews>
    <sheetView workbookViewId="0">
      <selection activeCell="F29" sqref="F29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25">
        <v>45149</v>
      </c>
      <c r="D2" s="15">
        <v>185000</v>
      </c>
      <c r="E2" t="s">
        <v>46</v>
      </c>
      <c r="F2" t="s">
        <v>47</v>
      </c>
      <c r="G2" s="15">
        <v>185000</v>
      </c>
      <c r="H2" s="15">
        <v>40000</v>
      </c>
      <c r="I2" s="20">
        <f>H2/G2*100</f>
        <v>21.621621621621621</v>
      </c>
      <c r="J2" s="15">
        <v>82000</v>
      </c>
      <c r="K2" s="15">
        <f>G2-0</f>
        <v>185000</v>
      </c>
      <c r="L2" s="15">
        <v>82000</v>
      </c>
      <c r="M2" s="30">
        <v>200</v>
      </c>
      <c r="N2" s="34">
        <v>0</v>
      </c>
      <c r="O2" s="39">
        <v>3.73</v>
      </c>
      <c r="P2" s="39">
        <v>3.73</v>
      </c>
      <c r="Q2" s="15">
        <f>K2/M2</f>
        <v>925</v>
      </c>
      <c r="R2" s="15">
        <f>K2/O2</f>
        <v>49597.855227882035</v>
      </c>
      <c r="S2" s="44">
        <f>K2/O2/43560</f>
        <v>1.1386100832847115</v>
      </c>
      <c r="T2" s="39">
        <v>200</v>
      </c>
      <c r="U2" s="5" t="s">
        <v>48</v>
      </c>
      <c r="V2" t="s">
        <v>49</v>
      </c>
      <c r="X2" t="s">
        <v>50</v>
      </c>
      <c r="Y2">
        <v>0</v>
      </c>
      <c r="Z2">
        <v>1</v>
      </c>
      <c r="AA2" s="6">
        <v>43097</v>
      </c>
      <c r="AB2" t="s">
        <v>51</v>
      </c>
      <c r="AC2" s="7" t="s">
        <v>52</v>
      </c>
      <c r="AD2" t="s">
        <v>53</v>
      </c>
      <c r="AL2" s="2"/>
      <c r="BC2" s="2"/>
      <c r="BE2" s="2"/>
    </row>
    <row r="3" spans="1:64" x14ac:dyDescent="0.25">
      <c r="A3" t="s">
        <v>54</v>
      </c>
      <c r="B3" t="s">
        <v>55</v>
      </c>
      <c r="C3" s="25">
        <v>44851</v>
      </c>
      <c r="D3" s="15">
        <v>390000</v>
      </c>
      <c r="E3" t="s">
        <v>46</v>
      </c>
      <c r="F3" t="s">
        <v>47</v>
      </c>
      <c r="G3" s="15">
        <v>390000</v>
      </c>
      <c r="H3" s="15">
        <v>131200</v>
      </c>
      <c r="I3" s="20">
        <f>H3/G3*100</f>
        <v>33.641025641025642</v>
      </c>
      <c r="J3" s="15">
        <v>376903</v>
      </c>
      <c r="K3" s="15">
        <f>G3-327703</f>
        <v>62297</v>
      </c>
      <c r="L3" s="15">
        <v>49200</v>
      </c>
      <c r="M3" s="30">
        <v>120</v>
      </c>
      <c r="N3" s="34">
        <v>260</v>
      </c>
      <c r="O3" s="39">
        <v>0.71599999999999997</v>
      </c>
      <c r="P3" s="39">
        <v>0.71599999999999997</v>
      </c>
      <c r="Q3" s="15">
        <f>K3/M3</f>
        <v>519.14166666666665</v>
      </c>
      <c r="R3" s="15">
        <f>K3/O3</f>
        <v>87006.983240223461</v>
      </c>
      <c r="S3" s="44">
        <f>K3/O3/43560</f>
        <v>1.9974054921998039</v>
      </c>
      <c r="T3" s="39">
        <v>120</v>
      </c>
      <c r="U3" s="5" t="s">
        <v>48</v>
      </c>
      <c r="V3" t="s">
        <v>56</v>
      </c>
      <c r="X3" t="s">
        <v>50</v>
      </c>
      <c r="Y3">
        <v>0</v>
      </c>
      <c r="Z3">
        <v>0</v>
      </c>
      <c r="AA3" s="6">
        <v>45411</v>
      </c>
      <c r="AB3" t="s">
        <v>57</v>
      </c>
      <c r="AC3" s="7" t="s">
        <v>58</v>
      </c>
      <c r="AD3" t="s">
        <v>53</v>
      </c>
    </row>
    <row r="4" spans="1:64" x14ac:dyDescent="0.25">
      <c r="A4" t="s">
        <v>146</v>
      </c>
      <c r="B4" t="s">
        <v>147</v>
      </c>
      <c r="C4" s="25">
        <v>44827</v>
      </c>
      <c r="D4" s="15">
        <v>570000</v>
      </c>
      <c r="E4" t="s">
        <v>46</v>
      </c>
      <c r="F4" t="s">
        <v>47</v>
      </c>
      <c r="G4" s="15">
        <v>570000</v>
      </c>
      <c r="H4" s="15">
        <v>188100</v>
      </c>
      <c r="I4" s="20">
        <f>H4/G4*100</f>
        <v>33</v>
      </c>
      <c r="J4" s="15">
        <v>596233</v>
      </c>
      <c r="K4" s="15">
        <f>G4-547853</f>
        <v>22147</v>
      </c>
      <c r="L4" s="15">
        <v>48380</v>
      </c>
      <c r="M4" s="30">
        <v>118</v>
      </c>
      <c r="N4" s="34">
        <v>162</v>
      </c>
      <c r="O4" s="39">
        <v>0.439</v>
      </c>
      <c r="P4" s="39">
        <v>0.439</v>
      </c>
      <c r="Q4" s="15">
        <f>K4/M4</f>
        <v>187.68644067796609</v>
      </c>
      <c r="R4" s="15">
        <f>K4/O4</f>
        <v>50448.747152619588</v>
      </c>
      <c r="S4" s="44">
        <f>K4/O4/43560</f>
        <v>1.1581438740270795</v>
      </c>
      <c r="T4" s="39">
        <v>118</v>
      </c>
      <c r="U4" s="5" t="s">
        <v>48</v>
      </c>
      <c r="V4" t="s">
        <v>148</v>
      </c>
      <c r="X4" t="s">
        <v>50</v>
      </c>
      <c r="Y4">
        <v>0</v>
      </c>
      <c r="Z4">
        <v>1</v>
      </c>
      <c r="AA4" s="6">
        <v>45497</v>
      </c>
      <c r="AB4" t="s">
        <v>57</v>
      </c>
      <c r="AC4" s="7" t="s">
        <v>58</v>
      </c>
      <c r="AD4" t="s">
        <v>53</v>
      </c>
    </row>
    <row r="5" spans="1:64" x14ac:dyDescent="0.25">
      <c r="A5" t="s">
        <v>146</v>
      </c>
      <c r="B5" t="s">
        <v>147</v>
      </c>
      <c r="C5" s="25">
        <v>44988</v>
      </c>
      <c r="D5" s="15">
        <v>561000</v>
      </c>
      <c r="E5" t="s">
        <v>46</v>
      </c>
      <c r="F5" t="s">
        <v>47</v>
      </c>
      <c r="G5" s="15">
        <v>561000</v>
      </c>
      <c r="H5" s="15">
        <v>188100</v>
      </c>
      <c r="I5" s="20">
        <f>H5/G5*100</f>
        <v>33.529411764705877</v>
      </c>
      <c r="J5" s="15">
        <v>596233</v>
      </c>
      <c r="K5" s="15">
        <f>G5-547853</f>
        <v>13147</v>
      </c>
      <c r="L5" s="15">
        <v>48380</v>
      </c>
      <c r="M5" s="30">
        <v>118</v>
      </c>
      <c r="N5" s="34">
        <v>162</v>
      </c>
      <c r="O5" s="39">
        <v>0.439</v>
      </c>
      <c r="P5" s="39">
        <v>0.439</v>
      </c>
      <c r="Q5" s="15">
        <f>K5/M5</f>
        <v>111.41525423728814</v>
      </c>
      <c r="R5" s="15">
        <f>K5/O5</f>
        <v>29947.608200455579</v>
      </c>
      <c r="S5" s="44">
        <f>K5/O5/43560</f>
        <v>0.68750248394066982</v>
      </c>
      <c r="T5" s="39">
        <v>118</v>
      </c>
      <c r="U5" s="5" t="s">
        <v>48</v>
      </c>
      <c r="V5" t="s">
        <v>149</v>
      </c>
      <c r="X5" t="s">
        <v>50</v>
      </c>
      <c r="Y5">
        <v>0</v>
      </c>
      <c r="Z5">
        <v>1</v>
      </c>
      <c r="AA5" s="6">
        <v>45497</v>
      </c>
      <c r="AB5" t="s">
        <v>57</v>
      </c>
      <c r="AC5" s="7" t="s">
        <v>58</v>
      </c>
      <c r="AD5" t="s">
        <v>53</v>
      </c>
    </row>
    <row r="6" spans="1:64" ht="15.75" thickBot="1" x14ac:dyDescent="0.3">
      <c r="A6" t="s">
        <v>150</v>
      </c>
      <c r="B6" t="s">
        <v>151</v>
      </c>
      <c r="C6" s="25">
        <v>44904</v>
      </c>
      <c r="D6" s="15">
        <v>499900</v>
      </c>
      <c r="E6" t="s">
        <v>46</v>
      </c>
      <c r="F6" t="s">
        <v>47</v>
      </c>
      <c r="G6" s="15">
        <v>499900</v>
      </c>
      <c r="H6" s="15">
        <v>169600</v>
      </c>
      <c r="I6" s="20">
        <f>H6/G6*100</f>
        <v>33.926785357071417</v>
      </c>
      <c r="J6" s="15">
        <v>460074</v>
      </c>
      <c r="K6" s="15">
        <f>G6-410054</f>
        <v>89846</v>
      </c>
      <c r="L6" s="15">
        <v>50020</v>
      </c>
      <c r="M6" s="30">
        <v>122</v>
      </c>
      <c r="N6" s="34">
        <v>164</v>
      </c>
      <c r="O6" s="39">
        <v>0.45900000000000002</v>
      </c>
      <c r="P6" s="39">
        <v>0.45900000000000002</v>
      </c>
      <c r="Q6" s="15">
        <f>K6/M6</f>
        <v>736.44262295081967</v>
      </c>
      <c r="R6" s="15">
        <f>K6/O6</f>
        <v>195742.9193899782</v>
      </c>
      <c r="S6" s="44">
        <f>K6/O6/43560</f>
        <v>4.493639104453127</v>
      </c>
      <c r="T6" s="39">
        <v>122</v>
      </c>
      <c r="U6" s="5" t="s">
        <v>48</v>
      </c>
      <c r="V6" t="s">
        <v>152</v>
      </c>
      <c r="X6" t="s">
        <v>50</v>
      </c>
      <c r="Y6">
        <v>0</v>
      </c>
      <c r="Z6">
        <v>1</v>
      </c>
      <c r="AA6" s="6">
        <v>45497</v>
      </c>
      <c r="AB6" t="s">
        <v>57</v>
      </c>
      <c r="AC6" s="7" t="s">
        <v>58</v>
      </c>
      <c r="AD6" t="s">
        <v>53</v>
      </c>
    </row>
    <row r="7" spans="1:64" ht="15.75" thickTop="1" x14ac:dyDescent="0.25">
      <c r="A7" s="8"/>
      <c r="B7" s="8"/>
      <c r="C7" s="26" t="s">
        <v>165</v>
      </c>
      <c r="D7" s="16">
        <f>+SUM(D2:D6)</f>
        <v>2205900</v>
      </c>
      <c r="E7" s="8"/>
      <c r="F7" s="8"/>
      <c r="G7" s="16">
        <f>+SUM(G2:G6)</f>
        <v>2205900</v>
      </c>
      <c r="H7" s="16">
        <f>+SUM(H2:H6)</f>
        <v>717000</v>
      </c>
      <c r="I7" s="21"/>
      <c r="J7" s="16">
        <f>+SUM(J2:J6)</f>
        <v>2111443</v>
      </c>
      <c r="K7" s="16">
        <f>+SUM(K2:K6)</f>
        <v>372437</v>
      </c>
      <c r="L7" s="16">
        <f>+SUM(L2:L6)</f>
        <v>277980</v>
      </c>
      <c r="M7" s="31">
        <f>+SUM(M2:M6)</f>
        <v>678</v>
      </c>
      <c r="N7" s="35"/>
      <c r="O7" s="40">
        <f>+SUM(O2:O6)</f>
        <v>5.7829999999999995</v>
      </c>
      <c r="P7" s="40">
        <f>+SUM(P2:P6)</f>
        <v>5.7829999999999995</v>
      </c>
      <c r="Q7" s="16"/>
      <c r="R7" s="16"/>
      <c r="S7" s="45"/>
      <c r="T7" s="40"/>
      <c r="U7" s="9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64" x14ac:dyDescent="0.25">
      <c r="A8" s="10"/>
      <c r="B8" s="10"/>
      <c r="C8" s="27"/>
      <c r="D8" s="17"/>
      <c r="E8" s="10"/>
      <c r="F8" s="10"/>
      <c r="G8" s="17"/>
      <c r="H8" s="17" t="s">
        <v>166</v>
      </c>
      <c r="I8" s="22">
        <f>H7/G7*100</f>
        <v>32.50373997008024</v>
      </c>
      <c r="J8" s="17"/>
      <c r="K8" s="17"/>
      <c r="L8" s="17" t="s">
        <v>167</v>
      </c>
      <c r="M8" s="32"/>
      <c r="N8" s="36"/>
      <c r="O8" s="41" t="s">
        <v>167</v>
      </c>
      <c r="P8" s="41"/>
      <c r="Q8" s="17"/>
      <c r="R8" s="17" t="s">
        <v>167</v>
      </c>
      <c r="S8" s="46"/>
      <c r="T8" s="4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4" x14ac:dyDescent="0.25">
      <c r="A9" s="12"/>
      <c r="B9" s="12"/>
      <c r="C9" s="28"/>
      <c r="D9" s="18"/>
      <c r="E9" s="12"/>
      <c r="F9" s="12"/>
      <c r="G9" s="18"/>
      <c r="H9" s="18" t="s">
        <v>168</v>
      </c>
      <c r="I9" s="23">
        <f>STDEV(I2:I6)</f>
        <v>5.3336114968327566</v>
      </c>
      <c r="J9" s="18"/>
      <c r="K9" s="18"/>
      <c r="L9" s="18" t="s">
        <v>169</v>
      </c>
      <c r="M9" s="48">
        <f>K7/M7</f>
        <v>549.31710914454277</v>
      </c>
      <c r="N9" s="37"/>
      <c r="O9" s="42" t="s">
        <v>170</v>
      </c>
      <c r="P9" s="42">
        <f>K7/O7</f>
        <v>64402.040463427293</v>
      </c>
      <c r="Q9" s="18"/>
      <c r="R9" s="18" t="s">
        <v>171</v>
      </c>
      <c r="S9" s="47">
        <f>K7/O7/43560</f>
        <v>1.4784674119244099</v>
      </c>
      <c r="T9" s="42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1" spans="1:64" x14ac:dyDescent="0.25">
      <c r="K11" s="50"/>
      <c r="L11" s="51" t="s">
        <v>172</v>
      </c>
      <c r="M11" s="52">
        <v>550</v>
      </c>
    </row>
    <row r="15" spans="1:64" x14ac:dyDescent="0.25">
      <c r="A15" t="s">
        <v>110</v>
      </c>
      <c r="B15" t="s">
        <v>111</v>
      </c>
      <c r="C15" s="25">
        <v>45027</v>
      </c>
      <c r="D15" s="15">
        <v>150000</v>
      </c>
      <c r="E15" t="s">
        <v>46</v>
      </c>
      <c r="F15" t="s">
        <v>47</v>
      </c>
      <c r="G15" s="15">
        <v>150000</v>
      </c>
      <c r="H15" s="15">
        <v>23800</v>
      </c>
      <c r="I15" s="20">
        <f>H15/G15*100</f>
        <v>15.866666666666667</v>
      </c>
      <c r="J15" s="15">
        <v>66982</v>
      </c>
      <c r="K15" s="15">
        <f>G15-14092</f>
        <v>135908</v>
      </c>
      <c r="L15" s="15">
        <v>52890</v>
      </c>
      <c r="M15" s="30">
        <v>129</v>
      </c>
      <c r="N15" s="34">
        <v>200</v>
      </c>
      <c r="O15" s="39">
        <v>0.59199999999999997</v>
      </c>
      <c r="P15" s="39">
        <v>0.59199999999999997</v>
      </c>
      <c r="Q15" s="15">
        <f>K15/M15</f>
        <v>1053.5503875968993</v>
      </c>
      <c r="R15" s="15">
        <f>K15/O15</f>
        <v>229574.32432432435</v>
      </c>
      <c r="S15" s="44">
        <f>K15/O15/43560</f>
        <v>5.2703012930285666</v>
      </c>
      <c r="T15" s="39">
        <v>129</v>
      </c>
      <c r="U15" s="5" t="s">
        <v>48</v>
      </c>
      <c r="V15" t="s">
        <v>112</v>
      </c>
      <c r="X15" t="s">
        <v>50</v>
      </c>
      <c r="Y15">
        <v>0</v>
      </c>
      <c r="Z15">
        <v>0</v>
      </c>
      <c r="AA15" s="6">
        <v>45467</v>
      </c>
      <c r="AB15" t="s">
        <v>57</v>
      </c>
      <c r="AC15" s="7" t="s">
        <v>58</v>
      </c>
      <c r="AD15" t="s">
        <v>53</v>
      </c>
    </row>
  </sheetData>
  <conditionalFormatting sqref="A2:AR6">
    <cfRule type="expression" dxfId="15" priority="3" stopIfTrue="1">
      <formula>MOD(ROW(),4)&gt;1</formula>
    </cfRule>
    <cfRule type="expression" dxfId="14" priority="4" stopIfTrue="1">
      <formula>MOD(ROW(),4)&lt;2</formula>
    </cfRule>
  </conditionalFormatting>
  <conditionalFormatting sqref="A15:AR15">
    <cfRule type="expression" dxfId="13" priority="1" stopIfTrue="1">
      <formula>MOD(ROW(),4)&gt;1</formula>
    </cfRule>
    <cfRule type="expression" dxfId="1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F90F-4CDF-47AE-82C6-A52BA5B43022}">
  <dimension ref="A1:BL9"/>
  <sheetViews>
    <sheetView workbookViewId="0">
      <selection activeCell="M9" sqref="K9:M9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116</v>
      </c>
      <c r="B2" t="s">
        <v>117</v>
      </c>
      <c r="C2" s="25">
        <v>44671</v>
      </c>
      <c r="D2" s="15">
        <v>565000</v>
      </c>
      <c r="E2" t="s">
        <v>46</v>
      </c>
      <c r="F2" t="s">
        <v>47</v>
      </c>
      <c r="G2" s="15">
        <v>565000</v>
      </c>
      <c r="H2" s="15">
        <v>207300</v>
      </c>
      <c r="I2" s="20">
        <f>H2/G2*100</f>
        <v>36.690265486725664</v>
      </c>
      <c r="J2" s="15">
        <v>552703</v>
      </c>
      <c r="K2" s="15">
        <f>G2-487598-20690</f>
        <v>56712</v>
      </c>
      <c r="L2" s="15">
        <v>44415</v>
      </c>
      <c r="M2" s="30">
        <v>47</v>
      </c>
      <c r="N2" s="34">
        <v>250</v>
      </c>
      <c r="O2" s="39">
        <v>0.27</v>
      </c>
      <c r="P2" s="39">
        <v>0.27</v>
      </c>
      <c r="Q2" s="15">
        <f>K2/M2</f>
        <v>1206.6382978723404</v>
      </c>
      <c r="R2" s="15">
        <f>K2/O2</f>
        <v>210044.44444444444</v>
      </c>
      <c r="S2" s="44">
        <f>K2/O2/43560</f>
        <v>4.8219569431690639</v>
      </c>
      <c r="T2" s="39">
        <v>47</v>
      </c>
      <c r="U2" s="5" t="s">
        <v>48</v>
      </c>
      <c r="V2" t="s">
        <v>118</v>
      </c>
      <c r="X2" t="s">
        <v>50</v>
      </c>
      <c r="Y2">
        <v>0</v>
      </c>
      <c r="Z2">
        <v>1</v>
      </c>
      <c r="AA2" s="6">
        <v>45469</v>
      </c>
      <c r="AB2" t="s">
        <v>57</v>
      </c>
      <c r="AC2" s="7" t="s">
        <v>58</v>
      </c>
      <c r="AD2" t="s">
        <v>119</v>
      </c>
    </row>
    <row r="3" spans="1:64" x14ac:dyDescent="0.25">
      <c r="A3" t="s">
        <v>142</v>
      </c>
      <c r="B3" t="s">
        <v>143</v>
      </c>
      <c r="C3" s="25">
        <v>44778</v>
      </c>
      <c r="D3" s="15">
        <v>520000</v>
      </c>
      <c r="E3" t="s">
        <v>46</v>
      </c>
      <c r="F3" t="s">
        <v>47</v>
      </c>
      <c r="G3" s="15">
        <v>520000</v>
      </c>
      <c r="H3" s="15">
        <v>224500</v>
      </c>
      <c r="I3" s="20">
        <f>H3/G3*100</f>
        <v>43.173076923076927</v>
      </c>
      <c r="J3" s="15">
        <v>539066</v>
      </c>
      <c r="K3" s="15">
        <f>G3-482366</f>
        <v>37634</v>
      </c>
      <c r="L3" s="15">
        <v>56700</v>
      </c>
      <c r="M3" s="30">
        <v>60</v>
      </c>
      <c r="N3" s="34">
        <v>200</v>
      </c>
      <c r="O3" s="39">
        <v>0.27500000000000002</v>
      </c>
      <c r="P3" s="39">
        <v>0.27500000000000002</v>
      </c>
      <c r="Q3" s="15">
        <f>K3/M3</f>
        <v>627.23333333333335</v>
      </c>
      <c r="R3" s="15">
        <f>K3/O3</f>
        <v>136850.90909090909</v>
      </c>
      <c r="S3" s="44">
        <f>K3/O3/43560</f>
        <v>3.1416645796811085</v>
      </c>
      <c r="T3" s="39">
        <v>60</v>
      </c>
      <c r="U3" s="5" t="s">
        <v>48</v>
      </c>
      <c r="V3" t="s">
        <v>144</v>
      </c>
      <c r="X3" t="s">
        <v>50</v>
      </c>
      <c r="Y3">
        <v>0</v>
      </c>
      <c r="Z3">
        <v>1</v>
      </c>
      <c r="AA3" s="6">
        <v>45497</v>
      </c>
      <c r="AB3" t="s">
        <v>57</v>
      </c>
      <c r="AC3" s="7" t="s">
        <v>58</v>
      </c>
      <c r="AD3" t="s">
        <v>119</v>
      </c>
    </row>
    <row r="4" spans="1:64" ht="15.75" thickBot="1" x14ac:dyDescent="0.3">
      <c r="A4" t="s">
        <v>142</v>
      </c>
      <c r="B4" t="s">
        <v>143</v>
      </c>
      <c r="C4" s="25">
        <v>45295</v>
      </c>
      <c r="D4" s="15">
        <v>622400</v>
      </c>
      <c r="E4" t="s">
        <v>46</v>
      </c>
      <c r="F4" t="s">
        <v>47</v>
      </c>
      <c r="G4" s="15">
        <v>622400</v>
      </c>
      <c r="H4" s="15">
        <v>244500</v>
      </c>
      <c r="I4" s="20">
        <f>H4/G4*100</f>
        <v>39.283419023136247</v>
      </c>
      <c r="J4" s="15">
        <v>547542</v>
      </c>
      <c r="K4" s="15">
        <f>G4-((473692-17150)*1.2)</f>
        <v>74549.599999999977</v>
      </c>
      <c r="L4" s="15">
        <v>56700</v>
      </c>
      <c r="M4" s="30">
        <v>60</v>
      </c>
      <c r="N4" s="34">
        <v>200</v>
      </c>
      <c r="O4" s="39">
        <v>0.27500000000000002</v>
      </c>
      <c r="P4" s="39">
        <v>0.27500000000000002</v>
      </c>
      <c r="Q4" s="15">
        <f>K4/M4</f>
        <v>1242.4933333333329</v>
      </c>
      <c r="R4" s="15">
        <f>K4/O4</f>
        <v>271089.45454545441</v>
      </c>
      <c r="S4" s="44">
        <f>K4/O4/43560</f>
        <v>6.2233575423658039</v>
      </c>
      <c r="T4" s="39">
        <v>60</v>
      </c>
      <c r="U4" s="5" t="s">
        <v>48</v>
      </c>
      <c r="V4" t="s">
        <v>145</v>
      </c>
      <c r="X4" t="s">
        <v>50</v>
      </c>
      <c r="Y4">
        <v>0</v>
      </c>
      <c r="Z4">
        <v>1</v>
      </c>
      <c r="AA4" s="6">
        <v>45497</v>
      </c>
      <c r="AB4" t="s">
        <v>57</v>
      </c>
      <c r="AC4" s="7" t="s">
        <v>58</v>
      </c>
      <c r="AD4" t="s">
        <v>119</v>
      </c>
    </row>
    <row r="5" spans="1:64" ht="15.75" thickTop="1" x14ac:dyDescent="0.25">
      <c r="A5" s="8"/>
      <c r="B5" s="8"/>
      <c r="C5" s="26" t="s">
        <v>165</v>
      </c>
      <c r="D5" s="16">
        <f>+SUM(D2:D4)</f>
        <v>1707400</v>
      </c>
      <c r="E5" s="8"/>
      <c r="F5" s="8"/>
      <c r="G5" s="16">
        <f>+SUM(G2:G4)</f>
        <v>1707400</v>
      </c>
      <c r="H5" s="16">
        <f>+SUM(H2:H4)</f>
        <v>676300</v>
      </c>
      <c r="I5" s="21"/>
      <c r="J5" s="16">
        <f>+SUM(J2:J4)</f>
        <v>1639311</v>
      </c>
      <c r="K5" s="16">
        <f>+SUM(K2:K4)</f>
        <v>168895.59999999998</v>
      </c>
      <c r="L5" s="16">
        <f>+SUM(L2:L4)</f>
        <v>157815</v>
      </c>
      <c r="M5" s="31">
        <f>+SUM(M2:M4)</f>
        <v>167</v>
      </c>
      <c r="N5" s="35"/>
      <c r="O5" s="40">
        <f>+SUM(O2:O4)</f>
        <v>0.82000000000000006</v>
      </c>
      <c r="P5" s="40">
        <f>+SUM(P2:P4)</f>
        <v>0.82000000000000006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166</v>
      </c>
      <c r="I6" s="22">
        <f>H5/G5*100</f>
        <v>39.609933231814452</v>
      </c>
      <c r="J6" s="17"/>
      <c r="K6" s="17"/>
      <c r="L6" s="17" t="s">
        <v>167</v>
      </c>
      <c r="M6" s="32"/>
      <c r="N6" s="36"/>
      <c r="O6" s="41" t="s">
        <v>167</v>
      </c>
      <c r="P6" s="41"/>
      <c r="Q6" s="17"/>
      <c r="R6" s="17" t="s">
        <v>167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168</v>
      </c>
      <c r="I7" s="23">
        <f>STDEV(I2:I4)</f>
        <v>3.2629416166310312</v>
      </c>
      <c r="J7" s="18"/>
      <c r="K7" s="18"/>
      <c r="L7" s="18" t="s">
        <v>169</v>
      </c>
      <c r="M7" s="48">
        <f>K5/M5</f>
        <v>1011.3508982035927</v>
      </c>
      <c r="N7" s="37"/>
      <c r="O7" s="42" t="s">
        <v>170</v>
      </c>
      <c r="P7" s="42">
        <f>K5/O5</f>
        <v>205970.24390243899</v>
      </c>
      <c r="Q7" s="18"/>
      <c r="R7" s="18" t="s">
        <v>171</v>
      </c>
      <c r="S7" s="47">
        <f>K5/O5/43560</f>
        <v>4.7284261685592055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K9" s="50"/>
      <c r="L9" s="51" t="s">
        <v>172</v>
      </c>
      <c r="M9" s="52">
        <v>1010</v>
      </c>
    </row>
  </sheetData>
  <conditionalFormatting sqref="A2:AR4">
    <cfRule type="expression" dxfId="11" priority="1" stopIfTrue="1">
      <formula>MOD(ROW(),4)&gt;1</formula>
    </cfRule>
    <cfRule type="expression" dxfId="1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774E-CC9B-48B4-86F6-691238F4EB62}">
  <dimension ref="A1:BL12"/>
  <sheetViews>
    <sheetView tabSelected="1" workbookViewId="0">
      <selection activeCell="M10" sqref="M10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77</v>
      </c>
      <c r="B2" t="s">
        <v>78</v>
      </c>
      <c r="C2" s="25">
        <v>45170</v>
      </c>
      <c r="D2" s="15">
        <v>270000</v>
      </c>
      <c r="E2" t="s">
        <v>46</v>
      </c>
      <c r="F2" t="s">
        <v>47</v>
      </c>
      <c r="G2" s="15">
        <v>270000</v>
      </c>
      <c r="H2" s="15">
        <v>41300</v>
      </c>
      <c r="I2" s="20">
        <f>H2/G2*100</f>
        <v>15.296296296296298</v>
      </c>
      <c r="J2" s="15">
        <v>83750</v>
      </c>
      <c r="K2" s="15">
        <f>G2-0</f>
        <v>270000</v>
      </c>
      <c r="L2" s="15">
        <v>83750</v>
      </c>
      <c r="M2" s="30">
        <v>125</v>
      </c>
      <c r="N2" s="34">
        <v>398.89999399999999</v>
      </c>
      <c r="O2" s="39">
        <v>1.145</v>
      </c>
      <c r="P2" s="39">
        <v>1.145</v>
      </c>
      <c r="Q2" s="15">
        <f>K2/M2</f>
        <v>2160</v>
      </c>
      <c r="R2" s="15">
        <f>K2/O2</f>
        <v>235807.86026200873</v>
      </c>
      <c r="S2" s="44">
        <f>K2/O2/43560</f>
        <v>5.4134035872821107</v>
      </c>
      <c r="T2" s="39">
        <v>125</v>
      </c>
      <c r="U2" s="5" t="s">
        <v>48</v>
      </c>
      <c r="V2" t="s">
        <v>79</v>
      </c>
      <c r="X2" t="s">
        <v>50</v>
      </c>
      <c r="Y2">
        <v>0</v>
      </c>
      <c r="Z2">
        <v>0</v>
      </c>
      <c r="AA2" t="s">
        <v>59</v>
      </c>
      <c r="AC2" s="7" t="s">
        <v>52</v>
      </c>
      <c r="AD2" t="s">
        <v>80</v>
      </c>
    </row>
    <row r="3" spans="1:64" x14ac:dyDescent="0.25">
      <c r="A3" t="s">
        <v>81</v>
      </c>
      <c r="B3" t="s">
        <v>82</v>
      </c>
      <c r="C3" s="25">
        <v>44918</v>
      </c>
      <c r="D3" s="15">
        <v>499000</v>
      </c>
      <c r="E3" t="s">
        <v>46</v>
      </c>
      <c r="F3" t="s">
        <v>47</v>
      </c>
      <c r="G3" s="15">
        <v>499000</v>
      </c>
      <c r="H3" s="15">
        <v>121600</v>
      </c>
      <c r="I3" s="20">
        <f>H3/G3*100</f>
        <v>24.368737474949899</v>
      </c>
      <c r="J3" s="15">
        <v>322551</v>
      </c>
      <c r="K3" s="15">
        <f>G3-((260270+6671)*1.2)</f>
        <v>178670.8</v>
      </c>
      <c r="L3" s="15">
        <v>55610</v>
      </c>
      <c r="M3" s="30">
        <v>83</v>
      </c>
      <c r="N3" s="34">
        <v>0</v>
      </c>
      <c r="O3" s="39">
        <v>0.49</v>
      </c>
      <c r="P3" s="39">
        <v>0.49</v>
      </c>
      <c r="Q3" s="15">
        <f>K3/M3</f>
        <v>2152.6602409638554</v>
      </c>
      <c r="R3" s="15">
        <f>K3/O3</f>
        <v>364634.28571428568</v>
      </c>
      <c r="S3" s="44">
        <f>K3/O3/43560</f>
        <v>8.3708513708513692</v>
      </c>
      <c r="T3" s="39">
        <v>83</v>
      </c>
      <c r="U3" s="5" t="s">
        <v>48</v>
      </c>
      <c r="V3" t="s">
        <v>83</v>
      </c>
      <c r="X3" t="s">
        <v>50</v>
      </c>
      <c r="Y3">
        <v>0</v>
      </c>
      <c r="Z3">
        <v>1</v>
      </c>
      <c r="AA3" s="6">
        <v>45442</v>
      </c>
      <c r="AB3" t="s">
        <v>57</v>
      </c>
      <c r="AC3" s="7" t="s">
        <v>58</v>
      </c>
      <c r="AD3" t="s">
        <v>80</v>
      </c>
    </row>
    <row r="4" spans="1:64" ht="15.75" thickBot="1" x14ac:dyDescent="0.3">
      <c r="A4" t="s">
        <v>84</v>
      </c>
      <c r="B4" t="s">
        <v>85</v>
      </c>
      <c r="C4" s="25">
        <v>45097</v>
      </c>
      <c r="D4" s="15">
        <v>635999</v>
      </c>
      <c r="E4" t="s">
        <v>46</v>
      </c>
      <c r="F4" t="s">
        <v>47</v>
      </c>
      <c r="G4" s="15">
        <v>635999</v>
      </c>
      <c r="H4" s="15">
        <v>174900</v>
      </c>
      <c r="I4" s="20">
        <f>H4/G4*100</f>
        <v>27.500043239061693</v>
      </c>
      <c r="J4" s="15">
        <v>424939</v>
      </c>
      <c r="K4" s="15">
        <f>G4-((372899+7820)*1.3)</f>
        <v>141064.29999999999</v>
      </c>
      <c r="L4" s="15">
        <v>44220</v>
      </c>
      <c r="M4" s="30">
        <v>66</v>
      </c>
      <c r="N4" s="34">
        <v>165</v>
      </c>
      <c r="O4" s="39">
        <v>0.246</v>
      </c>
      <c r="P4" s="39">
        <v>0.25</v>
      </c>
      <c r="Q4" s="15">
        <f>K4/M4</f>
        <v>2137.3378787878787</v>
      </c>
      <c r="R4" s="15">
        <f>K4/O4</f>
        <v>573432.11382113816</v>
      </c>
      <c r="S4" s="44">
        <f>K4/O4/43560</f>
        <v>13.164189940797478</v>
      </c>
      <c r="T4" s="39">
        <v>66</v>
      </c>
      <c r="U4" s="5" t="s">
        <v>48</v>
      </c>
      <c r="V4" t="s">
        <v>86</v>
      </c>
      <c r="X4" t="s">
        <v>50</v>
      </c>
      <c r="Y4">
        <v>0</v>
      </c>
      <c r="Z4">
        <v>1</v>
      </c>
      <c r="AA4" s="6">
        <v>45443</v>
      </c>
      <c r="AB4" t="s">
        <v>57</v>
      </c>
      <c r="AC4" s="7" t="s">
        <v>58</v>
      </c>
      <c r="AD4" t="s">
        <v>80</v>
      </c>
    </row>
    <row r="5" spans="1:64" ht="15.75" thickTop="1" x14ac:dyDescent="0.25">
      <c r="A5" s="8"/>
      <c r="B5" s="8"/>
      <c r="C5" s="26" t="s">
        <v>165</v>
      </c>
      <c r="D5" s="16">
        <f>+SUM(D2:D4)</f>
        <v>1404999</v>
      </c>
      <c r="E5" s="8"/>
      <c r="F5" s="8"/>
      <c r="G5" s="16">
        <f>+SUM(G2:G4)</f>
        <v>1404999</v>
      </c>
      <c r="H5" s="16">
        <f>+SUM(H2:H4)</f>
        <v>337800</v>
      </c>
      <c r="I5" s="21"/>
      <c r="J5" s="16">
        <f>+SUM(J2:J4)</f>
        <v>831240</v>
      </c>
      <c r="K5" s="16">
        <f>+SUM(K2:K4)</f>
        <v>589735.1</v>
      </c>
      <c r="L5" s="16">
        <f>+SUM(L2:L4)</f>
        <v>183580</v>
      </c>
      <c r="M5" s="31">
        <f>+SUM(M2:M4)</f>
        <v>274</v>
      </c>
      <c r="N5" s="35"/>
      <c r="O5" s="40">
        <f>+SUM(O2:O4)</f>
        <v>1.881</v>
      </c>
      <c r="P5" s="40">
        <f>+SUM(P2:P4)</f>
        <v>1.885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166</v>
      </c>
      <c r="I6" s="22">
        <f>H5/G5*100</f>
        <v>24.042721738591986</v>
      </c>
      <c r="J6" s="17"/>
      <c r="K6" s="17"/>
      <c r="L6" s="17" t="s">
        <v>167</v>
      </c>
      <c r="M6" s="32"/>
      <c r="N6" s="36"/>
      <c r="O6" s="41" t="s">
        <v>167</v>
      </c>
      <c r="P6" s="41"/>
      <c r="Q6" s="17"/>
      <c r="R6" s="17" t="s">
        <v>167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168</v>
      </c>
      <c r="I7" s="23">
        <f>STDEV(I2:I4)</f>
        <v>6.3383187067700053</v>
      </c>
      <c r="J7" s="18"/>
      <c r="K7" s="18"/>
      <c r="L7" s="18" t="s">
        <v>169</v>
      </c>
      <c r="M7" s="48">
        <f>K5/M5</f>
        <v>2152.3178832116787</v>
      </c>
      <c r="N7" s="37"/>
      <c r="O7" s="42" t="s">
        <v>170</v>
      </c>
      <c r="P7" s="42">
        <f>K5/O5</f>
        <v>313522.11589580012</v>
      </c>
      <c r="Q7" s="18"/>
      <c r="R7" s="18" t="s">
        <v>171</v>
      </c>
      <c r="S7" s="47">
        <f>K5/O5/43560</f>
        <v>7.1974774080762192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K9" s="50"/>
      <c r="L9" s="51" t="s">
        <v>172</v>
      </c>
      <c r="M9" s="52">
        <v>2150</v>
      </c>
    </row>
    <row r="11" spans="1:64" x14ac:dyDescent="0.25">
      <c r="M11" s="30">
        <f>M9-670</f>
        <v>1480</v>
      </c>
    </row>
    <row r="12" spans="1:64" x14ac:dyDescent="0.25">
      <c r="M12" s="53">
        <f>M11/670</f>
        <v>2.2089552238805972</v>
      </c>
    </row>
  </sheetData>
  <conditionalFormatting sqref="A2:AR4">
    <cfRule type="expression" dxfId="9" priority="1" stopIfTrue="1">
      <formula>MOD(ROW(),4)&gt;1</formula>
    </cfRule>
    <cfRule type="expression" dxfId="8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5B13-6500-4583-A9B9-4160B637E499}">
  <dimension ref="A1:BL8"/>
  <sheetViews>
    <sheetView workbookViewId="0">
      <selection activeCell="M8" sqref="K8:M8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60</v>
      </c>
      <c r="B2" t="s">
        <v>61</v>
      </c>
      <c r="C2" s="25">
        <v>44763</v>
      </c>
      <c r="D2" s="15">
        <v>135000</v>
      </c>
      <c r="E2" t="s">
        <v>46</v>
      </c>
      <c r="F2" t="s">
        <v>47</v>
      </c>
      <c r="G2" s="15">
        <v>135000</v>
      </c>
      <c r="H2" s="15">
        <v>33000</v>
      </c>
      <c r="I2" s="20">
        <f>H2/G2*100</f>
        <v>24.444444444444443</v>
      </c>
      <c r="J2" s="15">
        <v>134063</v>
      </c>
      <c r="K2" s="15">
        <f>G2-0</f>
        <v>135000</v>
      </c>
      <c r="L2" s="15">
        <v>134063</v>
      </c>
      <c r="M2" s="30">
        <v>137.5</v>
      </c>
      <c r="N2" s="34">
        <v>0</v>
      </c>
      <c r="O2" s="39">
        <v>1.07</v>
      </c>
      <c r="P2" s="39">
        <v>1.0900000000000001</v>
      </c>
      <c r="Q2" s="15">
        <f>K2/M2</f>
        <v>981.81818181818187</v>
      </c>
      <c r="R2" s="15">
        <f>K2/O2</f>
        <v>126168.22429906542</v>
      </c>
      <c r="S2" s="44">
        <f>K2/O2/43560</f>
        <v>2.8964238819803816</v>
      </c>
      <c r="T2" s="39">
        <v>137.5</v>
      </c>
      <c r="U2" s="5" t="s">
        <v>48</v>
      </c>
      <c r="V2" t="s">
        <v>62</v>
      </c>
      <c r="X2" t="s">
        <v>50</v>
      </c>
      <c r="Y2">
        <v>0</v>
      </c>
      <c r="Z2">
        <v>1</v>
      </c>
      <c r="AA2" s="6">
        <v>44936</v>
      </c>
      <c r="AB2" t="s">
        <v>51</v>
      </c>
      <c r="AC2" s="7" t="s">
        <v>52</v>
      </c>
      <c r="AD2" t="s">
        <v>63</v>
      </c>
    </row>
    <row r="3" spans="1:64" ht="15.75" thickBot="1" x14ac:dyDescent="0.3">
      <c r="A3" t="s">
        <v>64</v>
      </c>
      <c r="B3" t="s">
        <v>65</v>
      </c>
      <c r="C3" s="25">
        <v>45371</v>
      </c>
      <c r="D3" s="15">
        <v>200000</v>
      </c>
      <c r="E3" t="s">
        <v>46</v>
      </c>
      <c r="F3" t="s">
        <v>47</v>
      </c>
      <c r="G3" s="15">
        <v>200000</v>
      </c>
      <c r="H3" s="15">
        <v>65700</v>
      </c>
      <c r="I3" s="20">
        <f>H3/G3*100</f>
        <v>32.85</v>
      </c>
      <c r="J3" s="15">
        <v>134063</v>
      </c>
      <c r="K3" s="15">
        <f>G3-0</f>
        <v>200000</v>
      </c>
      <c r="L3" s="15">
        <v>134063</v>
      </c>
      <c r="M3" s="30">
        <v>137.5</v>
      </c>
      <c r="N3" s="34">
        <v>0</v>
      </c>
      <c r="O3" s="39">
        <v>1.0900000000000001</v>
      </c>
      <c r="P3" s="39">
        <v>1.0900000000000001</v>
      </c>
      <c r="Q3" s="15">
        <f>K3/M3</f>
        <v>1454.5454545454545</v>
      </c>
      <c r="R3" s="15">
        <f>K3/O3</f>
        <v>183486.23853211009</v>
      </c>
      <c r="S3" s="44">
        <f>K3/O3/43560</f>
        <v>4.2122644291118014</v>
      </c>
      <c r="T3" s="39">
        <v>137.5</v>
      </c>
      <c r="U3" s="5" t="s">
        <v>48</v>
      </c>
      <c r="V3" t="s">
        <v>66</v>
      </c>
      <c r="X3" t="s">
        <v>50</v>
      </c>
      <c r="Y3">
        <v>0</v>
      </c>
      <c r="Z3">
        <v>0</v>
      </c>
      <c r="AA3" t="s">
        <v>59</v>
      </c>
      <c r="AB3" t="s">
        <v>51</v>
      </c>
      <c r="AC3" s="7" t="s">
        <v>52</v>
      </c>
      <c r="AD3" t="s">
        <v>63</v>
      </c>
    </row>
    <row r="4" spans="1:64" ht="15.75" thickTop="1" x14ac:dyDescent="0.25">
      <c r="A4" s="8"/>
      <c r="B4" s="8"/>
      <c r="C4" s="26" t="s">
        <v>165</v>
      </c>
      <c r="D4" s="16">
        <f>+SUM(D2:D3)</f>
        <v>335000</v>
      </c>
      <c r="E4" s="8"/>
      <c r="F4" s="8"/>
      <c r="G4" s="16">
        <f>+SUM(G2:G3)</f>
        <v>335000</v>
      </c>
      <c r="H4" s="16">
        <f>+SUM(H2:H3)</f>
        <v>98700</v>
      </c>
      <c r="I4" s="21"/>
      <c r="J4" s="16">
        <f>+SUM(J2:J3)</f>
        <v>268126</v>
      </c>
      <c r="K4" s="16">
        <f>+SUM(K2:K3)</f>
        <v>335000</v>
      </c>
      <c r="L4" s="16">
        <f>+SUM(L2:L3)</f>
        <v>268126</v>
      </c>
      <c r="M4" s="31">
        <f>+SUM(M2:M3)</f>
        <v>275</v>
      </c>
      <c r="N4" s="35"/>
      <c r="O4" s="40">
        <f>+SUM(O2:O3)</f>
        <v>2.16</v>
      </c>
      <c r="P4" s="40">
        <f>+SUM(P2:P3)</f>
        <v>2.1800000000000002</v>
      </c>
      <c r="Q4" s="16"/>
      <c r="R4" s="16"/>
      <c r="S4" s="45"/>
      <c r="T4" s="40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64" x14ac:dyDescent="0.25">
      <c r="A5" s="10"/>
      <c r="B5" s="10"/>
      <c r="C5" s="27"/>
      <c r="D5" s="17"/>
      <c r="E5" s="10"/>
      <c r="F5" s="10"/>
      <c r="G5" s="17"/>
      <c r="H5" s="17" t="s">
        <v>166</v>
      </c>
      <c r="I5" s="22">
        <f>H4/G4*100</f>
        <v>29.46268656716418</v>
      </c>
      <c r="J5" s="17"/>
      <c r="K5" s="17"/>
      <c r="L5" s="17" t="s">
        <v>167</v>
      </c>
      <c r="M5" s="32"/>
      <c r="N5" s="36"/>
      <c r="O5" s="41" t="s">
        <v>167</v>
      </c>
      <c r="P5" s="41"/>
      <c r="Q5" s="17"/>
      <c r="R5" s="17" t="s">
        <v>167</v>
      </c>
      <c r="S5" s="46"/>
      <c r="T5" s="4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64" x14ac:dyDescent="0.25">
      <c r="A6" s="12"/>
      <c r="B6" s="12"/>
      <c r="C6" s="28"/>
      <c r="D6" s="18"/>
      <c r="E6" s="12"/>
      <c r="F6" s="12"/>
      <c r="G6" s="18"/>
      <c r="H6" s="18" t="s">
        <v>168</v>
      </c>
      <c r="I6" s="23">
        <f>STDEV(I2:I3)</f>
        <v>5.9436253329736211</v>
      </c>
      <c r="J6" s="18"/>
      <c r="K6" s="18"/>
      <c r="L6" s="18" t="s">
        <v>169</v>
      </c>
      <c r="M6" s="48">
        <f>K4/M4</f>
        <v>1218.1818181818182</v>
      </c>
      <c r="N6" s="37"/>
      <c r="O6" s="42" t="s">
        <v>170</v>
      </c>
      <c r="P6" s="42">
        <f>K4/O4</f>
        <v>155092.59259259258</v>
      </c>
      <c r="Q6" s="18"/>
      <c r="R6" s="18" t="s">
        <v>171</v>
      </c>
      <c r="S6" s="47">
        <f>K4/O4/43560</f>
        <v>3.5604360099309593</v>
      </c>
      <c r="T6" s="42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8" spans="1:64" x14ac:dyDescent="0.25">
      <c r="K8" s="50"/>
      <c r="L8" s="51" t="s">
        <v>172</v>
      </c>
      <c r="M8" s="52">
        <v>1220</v>
      </c>
    </row>
  </sheetData>
  <conditionalFormatting sqref="A2:AR3">
    <cfRule type="expression" dxfId="7" priority="1" stopIfTrue="1">
      <formula>MOD(ROW(),4)&gt;1</formula>
    </cfRule>
    <cfRule type="expression" dxfId="6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442C-AB2B-44F2-92D4-D356E324490F}">
  <dimension ref="A1:BL11"/>
  <sheetViews>
    <sheetView workbookViewId="0">
      <selection activeCell="J17" sqref="J17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98</v>
      </c>
      <c r="B2" t="s">
        <v>99</v>
      </c>
      <c r="C2" s="25">
        <v>44736</v>
      </c>
      <c r="D2" s="15">
        <v>170000</v>
      </c>
      <c r="E2" t="s">
        <v>100</v>
      </c>
      <c r="F2" t="s">
        <v>47</v>
      </c>
      <c r="G2" s="15">
        <v>170000</v>
      </c>
      <c r="H2" s="15">
        <v>23400</v>
      </c>
      <c r="I2" s="20">
        <f>H2/G2*100</f>
        <v>13.76470588235294</v>
      </c>
      <c r="J2" s="15">
        <v>74550</v>
      </c>
      <c r="K2" s="15">
        <f>G2-0</f>
        <v>170000</v>
      </c>
      <c r="L2" s="15">
        <v>74550</v>
      </c>
      <c r="M2" s="30">
        <v>105</v>
      </c>
      <c r="N2" s="34">
        <v>0</v>
      </c>
      <c r="O2" s="39">
        <v>0.51</v>
      </c>
      <c r="P2" s="39">
        <v>0.51</v>
      </c>
      <c r="Q2" s="15">
        <f>K2/M2</f>
        <v>1619.047619047619</v>
      </c>
      <c r="R2" s="15">
        <f>K2/O2</f>
        <v>333333.33333333331</v>
      </c>
      <c r="S2" s="44">
        <f>K2/O2/43560</f>
        <v>7.6522803795531065</v>
      </c>
      <c r="T2" s="39">
        <v>105</v>
      </c>
      <c r="U2" s="5" t="s">
        <v>48</v>
      </c>
      <c r="V2" t="s">
        <v>101</v>
      </c>
      <c r="X2" t="s">
        <v>50</v>
      </c>
      <c r="Y2">
        <v>0</v>
      </c>
      <c r="Z2">
        <v>0</v>
      </c>
      <c r="AA2" t="s">
        <v>59</v>
      </c>
      <c r="AB2" t="s">
        <v>51</v>
      </c>
      <c r="AC2" s="7" t="s">
        <v>52</v>
      </c>
      <c r="AD2" t="s">
        <v>70</v>
      </c>
    </row>
    <row r="3" spans="1:64" x14ac:dyDescent="0.25">
      <c r="A3" t="s">
        <v>103</v>
      </c>
      <c r="B3" t="s">
        <v>104</v>
      </c>
      <c r="C3" s="25">
        <v>44882</v>
      </c>
      <c r="D3" s="15">
        <v>499900</v>
      </c>
      <c r="E3" t="s">
        <v>46</v>
      </c>
      <c r="F3" t="s">
        <v>47</v>
      </c>
      <c r="G3" s="15">
        <v>499900</v>
      </c>
      <c r="H3" s="15">
        <v>210100</v>
      </c>
      <c r="I3" s="20">
        <f>H3/G3*100</f>
        <v>42.028405681136228</v>
      </c>
      <c r="J3" s="15">
        <v>477696</v>
      </c>
      <c r="K3" s="15">
        <f>G3-380362-4534</f>
        <v>115004</v>
      </c>
      <c r="L3" s="15">
        <v>92800</v>
      </c>
      <c r="M3" s="30">
        <v>0</v>
      </c>
      <c r="N3" s="34">
        <v>0</v>
      </c>
      <c r="O3" s="39">
        <v>0</v>
      </c>
      <c r="P3" s="39">
        <v>0</v>
      </c>
      <c r="Q3" s="15" t="e">
        <f>K3/M3</f>
        <v>#DIV/0!</v>
      </c>
      <c r="R3" s="15" t="e">
        <f>K3/O3</f>
        <v>#DIV/0!</v>
      </c>
      <c r="S3" s="44" t="e">
        <f>K3/O3/43560</f>
        <v>#DIV/0!</v>
      </c>
      <c r="T3" s="39">
        <v>0</v>
      </c>
      <c r="U3" s="5" t="s">
        <v>48</v>
      </c>
      <c r="V3" t="s">
        <v>105</v>
      </c>
      <c r="X3" t="s">
        <v>50</v>
      </c>
      <c r="Y3">
        <v>0</v>
      </c>
      <c r="Z3">
        <v>1</v>
      </c>
      <c r="AA3" s="6">
        <v>45186</v>
      </c>
      <c r="AB3" t="s">
        <v>102</v>
      </c>
      <c r="AC3" s="7" t="s">
        <v>58</v>
      </c>
    </row>
    <row r="4" spans="1:64" x14ac:dyDescent="0.25">
      <c r="A4" t="s">
        <v>106</v>
      </c>
      <c r="B4" t="s">
        <v>107</v>
      </c>
      <c r="C4" s="25">
        <v>44795</v>
      </c>
      <c r="D4" s="15">
        <v>185000</v>
      </c>
      <c r="E4" t="s">
        <v>46</v>
      </c>
      <c r="F4" t="s">
        <v>47</v>
      </c>
      <c r="G4" s="15">
        <v>185000</v>
      </c>
      <c r="H4" s="15">
        <v>30000</v>
      </c>
      <c r="I4" s="20">
        <f>H4/G4*100</f>
        <v>16.216216216216218</v>
      </c>
      <c r="J4" s="15">
        <v>92500</v>
      </c>
      <c r="K4" s="15">
        <f>G4-0</f>
        <v>185000</v>
      </c>
      <c r="L4" s="15">
        <v>92500</v>
      </c>
      <c r="M4" s="30">
        <v>109.4</v>
      </c>
      <c r="N4" s="34">
        <v>194.64999399999999</v>
      </c>
      <c r="O4" s="39">
        <v>0.48899999999999999</v>
      </c>
      <c r="P4" s="39">
        <v>0.48899999999999999</v>
      </c>
      <c r="Q4" s="15">
        <f>K4/M4</f>
        <v>1691.0420475319927</v>
      </c>
      <c r="R4" s="15">
        <f>K4/O4</f>
        <v>378323.10838445806</v>
      </c>
      <c r="S4" s="44">
        <f>K4/O4/43560</f>
        <v>8.6851034982657964</v>
      </c>
      <c r="T4" s="39">
        <v>109.4</v>
      </c>
      <c r="U4" s="5" t="s">
        <v>48</v>
      </c>
      <c r="V4" t="s">
        <v>108</v>
      </c>
      <c r="X4" t="s">
        <v>50</v>
      </c>
      <c r="Y4">
        <v>0</v>
      </c>
      <c r="Z4">
        <v>0</v>
      </c>
      <c r="AA4" t="s">
        <v>59</v>
      </c>
      <c r="AB4" t="s">
        <v>51</v>
      </c>
      <c r="AC4" s="7" t="s">
        <v>52</v>
      </c>
      <c r="AD4" t="s">
        <v>70</v>
      </c>
    </row>
    <row r="5" spans="1:64" ht="15.75" thickBot="1" x14ac:dyDescent="0.3">
      <c r="A5" t="s">
        <v>106</v>
      </c>
      <c r="B5" t="s">
        <v>107</v>
      </c>
      <c r="C5" s="25">
        <v>45232</v>
      </c>
      <c r="D5" s="15">
        <v>195000</v>
      </c>
      <c r="E5" t="s">
        <v>46</v>
      </c>
      <c r="F5" t="s">
        <v>47</v>
      </c>
      <c r="G5" s="15">
        <v>195000</v>
      </c>
      <c r="H5" s="15">
        <v>40000</v>
      </c>
      <c r="I5" s="20">
        <f>H5/G5*100</f>
        <v>20.512820512820511</v>
      </c>
      <c r="J5" s="15">
        <v>92500</v>
      </c>
      <c r="K5" s="15">
        <f>G5-0</f>
        <v>195000</v>
      </c>
      <c r="L5" s="15">
        <v>92500</v>
      </c>
      <c r="M5" s="30">
        <v>109.4</v>
      </c>
      <c r="N5" s="34">
        <v>194.64999399999999</v>
      </c>
      <c r="O5" s="39">
        <v>0.48899999999999999</v>
      </c>
      <c r="P5" s="39">
        <v>0.48899999999999999</v>
      </c>
      <c r="Q5" s="15">
        <f>K5/M5</f>
        <v>1782.4497257769651</v>
      </c>
      <c r="R5" s="15">
        <f>K5/O5</f>
        <v>398773.00613496936</v>
      </c>
      <c r="S5" s="44">
        <f>K5/O5/43560</f>
        <v>9.1545685522261095</v>
      </c>
      <c r="T5" s="39">
        <v>109.4</v>
      </c>
      <c r="U5" s="5" t="s">
        <v>48</v>
      </c>
      <c r="V5" t="s">
        <v>109</v>
      </c>
      <c r="X5" t="s">
        <v>50</v>
      </c>
      <c r="Y5">
        <v>0</v>
      </c>
      <c r="Z5">
        <v>0</v>
      </c>
      <c r="AA5" t="s">
        <v>59</v>
      </c>
      <c r="AB5" t="s">
        <v>51</v>
      </c>
      <c r="AC5" s="7" t="s">
        <v>52</v>
      </c>
      <c r="AD5" t="s">
        <v>70</v>
      </c>
    </row>
    <row r="6" spans="1:64" ht="15.75" thickTop="1" x14ac:dyDescent="0.25">
      <c r="A6" s="8"/>
      <c r="B6" s="8"/>
      <c r="C6" s="26" t="s">
        <v>165</v>
      </c>
      <c r="D6" s="16">
        <f>+SUM(D2:D5)</f>
        <v>1049900</v>
      </c>
      <c r="E6" s="8"/>
      <c r="F6" s="8"/>
      <c r="G6" s="16">
        <f>+SUM(G2:G5)</f>
        <v>1049900</v>
      </c>
      <c r="H6" s="16">
        <f>+SUM(H2:H5)</f>
        <v>303500</v>
      </c>
      <c r="I6" s="21"/>
      <c r="J6" s="16">
        <f>+SUM(J2:J5)</f>
        <v>737246</v>
      </c>
      <c r="K6" s="16">
        <f>+SUM(K2:K5)</f>
        <v>665004</v>
      </c>
      <c r="L6" s="16">
        <f>+SUM(L2:L5)</f>
        <v>352350</v>
      </c>
      <c r="M6" s="31">
        <f>+SUM(M2:M5)</f>
        <v>323.8</v>
      </c>
      <c r="N6" s="35"/>
      <c r="O6" s="40">
        <f>+SUM(O2:O5)</f>
        <v>1.488</v>
      </c>
      <c r="P6" s="40">
        <f>+SUM(P2:P5)</f>
        <v>1.488</v>
      </c>
      <c r="Q6" s="16"/>
      <c r="R6" s="16"/>
      <c r="S6" s="45"/>
      <c r="T6" s="40"/>
      <c r="U6" s="9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64" x14ac:dyDescent="0.25">
      <c r="A7" s="10"/>
      <c r="B7" s="10"/>
      <c r="C7" s="27"/>
      <c r="D7" s="17"/>
      <c r="E7" s="10"/>
      <c r="F7" s="10"/>
      <c r="G7" s="17"/>
      <c r="H7" s="17" t="s">
        <v>166</v>
      </c>
      <c r="I7" s="22">
        <f>H6/G6*100</f>
        <v>28.907515001428706</v>
      </c>
      <c r="J7" s="17"/>
      <c r="K7" s="17"/>
      <c r="L7" s="17" t="s">
        <v>167</v>
      </c>
      <c r="M7" s="32"/>
      <c r="N7" s="36"/>
      <c r="O7" s="41" t="s">
        <v>167</v>
      </c>
      <c r="P7" s="41"/>
      <c r="Q7" s="17"/>
      <c r="R7" s="17" t="s">
        <v>167</v>
      </c>
      <c r="S7" s="46"/>
      <c r="T7" s="41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8"/>
      <c r="D8" s="18"/>
      <c r="E8" s="12"/>
      <c r="F8" s="12"/>
      <c r="G8" s="18"/>
      <c r="H8" s="18" t="s">
        <v>168</v>
      </c>
      <c r="I8" s="23">
        <f>STDEV(I2:I5)</f>
        <v>12.903597750525121</v>
      </c>
      <c r="J8" s="18"/>
      <c r="K8" s="18"/>
      <c r="L8" s="18" t="s">
        <v>169</v>
      </c>
      <c r="M8" s="48">
        <f>K6/M6</f>
        <v>2053.749227918468</v>
      </c>
      <c r="N8" s="37"/>
      <c r="O8" s="42" t="s">
        <v>170</v>
      </c>
      <c r="P8" s="42">
        <f>K6/O6</f>
        <v>446911.29032258067</v>
      </c>
      <c r="Q8" s="18"/>
      <c r="R8" s="18" t="s">
        <v>171</v>
      </c>
      <c r="S8" s="47">
        <f>K6/O6/43560</f>
        <v>10.259671495008739</v>
      </c>
      <c r="T8" s="4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10" spans="1:64" x14ac:dyDescent="0.25">
      <c r="J10" s="49" t="s">
        <v>173</v>
      </c>
      <c r="K10" s="15">
        <f>K6/4</f>
        <v>166251</v>
      </c>
    </row>
    <row r="11" spans="1:64" x14ac:dyDescent="0.25">
      <c r="I11" s="54"/>
      <c r="J11" s="51" t="s">
        <v>174</v>
      </c>
      <c r="K11" s="50">
        <v>166250</v>
      </c>
    </row>
  </sheetData>
  <conditionalFormatting sqref="A2:AR5">
    <cfRule type="expression" dxfId="5" priority="1" stopIfTrue="1">
      <formula>MOD(ROW(),4)&gt;1</formula>
    </cfRule>
    <cfRule type="expression" dxfId="4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DE75-CBDC-4503-B2C1-766C23ED6FF4}">
  <dimension ref="A1:BL11"/>
  <sheetViews>
    <sheetView workbookViewId="0">
      <selection activeCell="K16" sqref="K16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120</v>
      </c>
      <c r="B2" t="s">
        <v>121</v>
      </c>
      <c r="C2" s="25">
        <v>44839</v>
      </c>
      <c r="D2" s="15">
        <v>450000</v>
      </c>
      <c r="E2" t="s">
        <v>46</v>
      </c>
      <c r="F2" t="s">
        <v>47</v>
      </c>
      <c r="G2" s="15">
        <v>450000</v>
      </c>
      <c r="H2" s="15">
        <v>213900</v>
      </c>
      <c r="I2" s="20">
        <f>H2/G2*100</f>
        <v>47.533333333333331</v>
      </c>
      <c r="J2" s="15">
        <v>459677</v>
      </c>
      <c r="K2" s="15">
        <f>G2-378027</f>
        <v>71973</v>
      </c>
      <c r="L2" s="15">
        <v>81650</v>
      </c>
      <c r="M2" s="30">
        <v>115</v>
      </c>
      <c r="N2" s="34">
        <v>200</v>
      </c>
      <c r="O2" s="39">
        <v>0.52800000000000002</v>
      </c>
      <c r="P2" s="39">
        <v>0.52800000000000002</v>
      </c>
      <c r="Q2" s="15">
        <f>K2/M2</f>
        <v>625.85217391304343</v>
      </c>
      <c r="R2" s="15">
        <f>K2/O2</f>
        <v>136312.5</v>
      </c>
      <c r="S2" s="44">
        <f>K2/O2/43560</f>
        <v>3.1293044077134988</v>
      </c>
      <c r="T2" s="39">
        <v>115</v>
      </c>
      <c r="U2" s="5" t="s">
        <v>48</v>
      </c>
      <c r="V2" t="s">
        <v>122</v>
      </c>
      <c r="X2" t="s">
        <v>50</v>
      </c>
      <c r="Y2">
        <v>0</v>
      </c>
      <c r="Z2">
        <v>1</v>
      </c>
      <c r="AA2" s="6">
        <v>45471</v>
      </c>
      <c r="AB2" t="s">
        <v>57</v>
      </c>
      <c r="AC2" s="7" t="s">
        <v>58</v>
      </c>
      <c r="AD2" t="s">
        <v>70</v>
      </c>
    </row>
    <row r="3" spans="1:64" x14ac:dyDescent="0.25">
      <c r="A3" t="s">
        <v>156</v>
      </c>
      <c r="B3" t="s">
        <v>157</v>
      </c>
      <c r="C3" s="25">
        <v>44819</v>
      </c>
      <c r="D3" s="15">
        <v>572000</v>
      </c>
      <c r="E3" t="s">
        <v>46</v>
      </c>
      <c r="F3" t="s">
        <v>47</v>
      </c>
      <c r="G3" s="15">
        <v>572000</v>
      </c>
      <c r="H3" s="15">
        <v>30000</v>
      </c>
      <c r="I3" s="20">
        <f>H3/G3*100</f>
        <v>5.244755244755245</v>
      </c>
      <c r="J3" s="15">
        <v>580378</v>
      </c>
      <c r="K3" s="15">
        <f>G3-507878</f>
        <v>64122</v>
      </c>
      <c r="L3" s="15">
        <v>72500</v>
      </c>
      <c r="M3" s="30">
        <v>0</v>
      </c>
      <c r="N3" s="34">
        <v>0</v>
      </c>
      <c r="O3" s="39">
        <v>4.8000000000000001E-2</v>
      </c>
      <c r="P3" s="39">
        <v>4.8000000000000001E-2</v>
      </c>
      <c r="Q3" s="15" t="e">
        <f>K3/M3</f>
        <v>#DIV/0!</v>
      </c>
      <c r="R3" s="15">
        <f>K3/O3</f>
        <v>1335875</v>
      </c>
      <c r="S3" s="44">
        <f>K3/O3/43560</f>
        <v>30.667470156106521</v>
      </c>
      <c r="T3" s="39">
        <v>0</v>
      </c>
      <c r="U3" s="5" t="s">
        <v>48</v>
      </c>
      <c r="V3" t="s">
        <v>158</v>
      </c>
      <c r="X3" t="s">
        <v>50</v>
      </c>
      <c r="Y3">
        <v>0</v>
      </c>
      <c r="Z3">
        <v>1</v>
      </c>
      <c r="AA3" s="6">
        <v>45506</v>
      </c>
      <c r="AB3" t="s">
        <v>51</v>
      </c>
      <c r="AC3" s="7" t="s">
        <v>58</v>
      </c>
    </row>
    <row r="4" spans="1:64" x14ac:dyDescent="0.25">
      <c r="A4" t="s">
        <v>159</v>
      </c>
      <c r="B4" t="s">
        <v>160</v>
      </c>
      <c r="C4" s="25">
        <v>45227</v>
      </c>
      <c r="D4" s="15">
        <v>655000</v>
      </c>
      <c r="E4" t="s">
        <v>46</v>
      </c>
      <c r="F4" t="s">
        <v>47</v>
      </c>
      <c r="G4" s="15">
        <v>655000</v>
      </c>
      <c r="H4" s="15">
        <v>298700</v>
      </c>
      <c r="I4" s="20">
        <f>H4/G4*100</f>
        <v>45.603053435114504</v>
      </c>
      <c r="J4" s="15">
        <v>649910</v>
      </c>
      <c r="K4" s="15">
        <f>G4-558930-18480</f>
        <v>77590</v>
      </c>
      <c r="L4" s="15">
        <v>72500</v>
      </c>
      <c r="M4" s="30">
        <v>0</v>
      </c>
      <c r="N4" s="34">
        <v>0</v>
      </c>
      <c r="O4" s="39">
        <v>5.8000000000000003E-2</v>
      </c>
      <c r="P4" s="39">
        <v>5.8000000000000003E-2</v>
      </c>
      <c r="Q4" s="15" t="e">
        <f>K4/M4</f>
        <v>#DIV/0!</v>
      </c>
      <c r="R4" s="15">
        <f>K4/O4</f>
        <v>1337758.6206896552</v>
      </c>
      <c r="S4" s="44">
        <f>K4/O4/43560</f>
        <v>30.710712137044425</v>
      </c>
      <c r="T4" s="39">
        <v>0</v>
      </c>
      <c r="U4" s="5" t="s">
        <v>48</v>
      </c>
      <c r="V4" t="s">
        <v>161</v>
      </c>
      <c r="X4" t="s">
        <v>50</v>
      </c>
      <c r="Y4">
        <v>0</v>
      </c>
      <c r="Z4">
        <v>1</v>
      </c>
      <c r="AA4" s="6">
        <v>45509</v>
      </c>
      <c r="AB4" t="s">
        <v>102</v>
      </c>
      <c r="AC4" s="7" t="s">
        <v>58</v>
      </c>
    </row>
    <row r="5" spans="1:64" ht="15.75" thickBot="1" x14ac:dyDescent="0.3">
      <c r="A5" t="s">
        <v>162</v>
      </c>
      <c r="B5" t="s">
        <v>163</v>
      </c>
      <c r="C5" s="25">
        <v>45229</v>
      </c>
      <c r="D5" s="15">
        <v>660000</v>
      </c>
      <c r="E5" t="s">
        <v>46</v>
      </c>
      <c r="F5" t="s">
        <v>47</v>
      </c>
      <c r="G5" s="15">
        <v>660000</v>
      </c>
      <c r="H5" s="15">
        <v>231700</v>
      </c>
      <c r="I5" s="20">
        <f>H5/G5*100</f>
        <v>35.106060606060609</v>
      </c>
      <c r="J5" s="15">
        <v>647979</v>
      </c>
      <c r="K5" s="15">
        <f>G5-575479</f>
        <v>84521</v>
      </c>
      <c r="L5" s="15">
        <v>72500</v>
      </c>
      <c r="M5" s="30">
        <v>0</v>
      </c>
      <c r="N5" s="34">
        <v>0</v>
      </c>
      <c r="O5" s="39">
        <v>5.1999999999999998E-2</v>
      </c>
      <c r="P5" s="39">
        <v>5.1999999999999998E-2</v>
      </c>
      <c r="Q5" s="15" t="e">
        <f>K5/M5</f>
        <v>#DIV/0!</v>
      </c>
      <c r="R5" s="15">
        <f>K5/O5</f>
        <v>1625403.8461538462</v>
      </c>
      <c r="S5" s="44">
        <f>K5/O5/43560</f>
        <v>37.314137882319706</v>
      </c>
      <c r="T5" s="39">
        <v>0</v>
      </c>
      <c r="U5" s="5" t="s">
        <v>48</v>
      </c>
      <c r="V5" t="s">
        <v>164</v>
      </c>
      <c r="X5" t="s">
        <v>50</v>
      </c>
      <c r="Y5">
        <v>0</v>
      </c>
      <c r="Z5">
        <v>1</v>
      </c>
      <c r="AA5" s="6">
        <v>45509</v>
      </c>
      <c r="AB5" t="s">
        <v>102</v>
      </c>
      <c r="AC5" s="7" t="s">
        <v>58</v>
      </c>
    </row>
    <row r="6" spans="1:64" ht="15.75" thickTop="1" x14ac:dyDescent="0.25">
      <c r="A6" s="8"/>
      <c r="B6" s="8"/>
      <c r="C6" s="26" t="s">
        <v>165</v>
      </c>
      <c r="D6" s="16">
        <f>+SUM(D2:D5)</f>
        <v>2337000</v>
      </c>
      <c r="E6" s="8"/>
      <c r="F6" s="8"/>
      <c r="G6" s="16">
        <f>+SUM(G2:G5)</f>
        <v>2337000</v>
      </c>
      <c r="H6" s="16">
        <f>+SUM(H2:H5)</f>
        <v>774300</v>
      </c>
      <c r="I6" s="21"/>
      <c r="J6" s="16">
        <f>+SUM(J2:J5)</f>
        <v>2337944</v>
      </c>
      <c r="K6" s="16">
        <f>+SUM(K2:K5)</f>
        <v>298206</v>
      </c>
      <c r="L6" s="16">
        <f>+SUM(L2:L5)</f>
        <v>299150</v>
      </c>
      <c r="M6" s="31">
        <f>+SUM(M2:M5)</f>
        <v>115</v>
      </c>
      <c r="N6" s="35"/>
      <c r="O6" s="40">
        <f>+SUM(O2:O5)</f>
        <v>0.68600000000000017</v>
      </c>
      <c r="P6" s="40">
        <f>+SUM(P2:P5)</f>
        <v>0.68600000000000017</v>
      </c>
      <c r="Q6" s="16"/>
      <c r="R6" s="16"/>
      <c r="S6" s="45"/>
      <c r="T6" s="40"/>
      <c r="U6" s="9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64" x14ac:dyDescent="0.25">
      <c r="A7" s="10"/>
      <c r="B7" s="10"/>
      <c r="C7" s="27"/>
      <c r="D7" s="17"/>
      <c r="E7" s="10"/>
      <c r="F7" s="10"/>
      <c r="G7" s="17"/>
      <c r="H7" s="17" t="s">
        <v>166</v>
      </c>
      <c r="I7" s="22">
        <f>H6/G6*100</f>
        <v>33.132220795892167</v>
      </c>
      <c r="J7" s="17"/>
      <c r="K7" s="17"/>
      <c r="L7" s="17" t="s">
        <v>167</v>
      </c>
      <c r="M7" s="32"/>
      <c r="N7" s="36"/>
      <c r="O7" s="41" t="s">
        <v>167</v>
      </c>
      <c r="P7" s="41"/>
      <c r="Q7" s="17"/>
      <c r="R7" s="17" t="s">
        <v>167</v>
      </c>
      <c r="S7" s="46"/>
      <c r="T7" s="41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8"/>
      <c r="D8" s="18"/>
      <c r="E8" s="12"/>
      <c r="F8" s="12"/>
      <c r="G8" s="18"/>
      <c r="H8" s="18" t="s">
        <v>168</v>
      </c>
      <c r="I8" s="23">
        <f>STDEV(I2:I5)</f>
        <v>19.530240598094576</v>
      </c>
      <c r="J8" s="18"/>
      <c r="K8" s="18"/>
      <c r="L8" s="18" t="s">
        <v>169</v>
      </c>
      <c r="M8" s="48">
        <f>K6/M6</f>
        <v>2593.0956521739131</v>
      </c>
      <c r="N8" s="37"/>
      <c r="O8" s="42" t="s">
        <v>170</v>
      </c>
      <c r="P8" s="42">
        <f>K6/O6</f>
        <v>434702.62390670541</v>
      </c>
      <c r="Q8" s="18"/>
      <c r="R8" s="18" t="s">
        <v>171</v>
      </c>
      <c r="S8" s="47">
        <f>K6/O6/43560</f>
        <v>9.9793990795846046</v>
      </c>
      <c r="T8" s="4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10" spans="1:64" x14ac:dyDescent="0.25">
      <c r="J10" s="49" t="s">
        <v>173</v>
      </c>
      <c r="K10" s="15">
        <f>AVERAGE(K2:K5)</f>
        <v>74551.5</v>
      </c>
    </row>
    <row r="11" spans="1:64" x14ac:dyDescent="0.25">
      <c r="I11" s="54"/>
      <c r="J11" s="51" t="s">
        <v>174</v>
      </c>
      <c r="K11" s="50">
        <v>74600</v>
      </c>
    </row>
  </sheetData>
  <conditionalFormatting sqref="A2:AR5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EDDF-D5E7-4443-88BF-C1296A7D436D}">
  <dimension ref="A1:BL11"/>
  <sheetViews>
    <sheetView workbookViewId="0">
      <selection activeCell="A31" sqref="A31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6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123</v>
      </c>
      <c r="B2" t="s">
        <v>124</v>
      </c>
      <c r="C2" s="25">
        <v>44766</v>
      </c>
      <c r="D2" s="15">
        <v>49000</v>
      </c>
      <c r="E2" t="s">
        <v>46</v>
      </c>
      <c r="F2" t="s">
        <v>47</v>
      </c>
      <c r="G2" s="15">
        <v>49000</v>
      </c>
      <c r="H2" s="15">
        <v>13000</v>
      </c>
      <c r="I2" s="20">
        <f>H2/G2*100</f>
        <v>26.530612244897959</v>
      </c>
      <c r="J2" s="15">
        <v>399096</v>
      </c>
      <c r="K2" s="15">
        <f>G2-0</f>
        <v>49000</v>
      </c>
      <c r="L2" s="15">
        <v>46800</v>
      </c>
      <c r="M2" s="30">
        <v>50</v>
      </c>
      <c r="N2" s="34">
        <v>217</v>
      </c>
      <c r="O2" s="39">
        <v>0</v>
      </c>
      <c r="P2" s="39">
        <v>0</v>
      </c>
      <c r="Q2" s="15">
        <f>K2/M2</f>
        <v>980</v>
      </c>
      <c r="R2" s="15" t="e">
        <f>K2/O2</f>
        <v>#DIV/0!</v>
      </c>
      <c r="S2" s="44" t="e">
        <f>K2/O2/43560</f>
        <v>#DIV/0!</v>
      </c>
      <c r="T2" s="39">
        <v>50</v>
      </c>
      <c r="U2" s="5" t="s">
        <v>48</v>
      </c>
      <c r="V2" t="s">
        <v>125</v>
      </c>
      <c r="X2" t="s">
        <v>50</v>
      </c>
      <c r="Y2">
        <v>0</v>
      </c>
      <c r="Z2">
        <v>1</v>
      </c>
      <c r="AA2" s="6">
        <v>44938</v>
      </c>
      <c r="AB2" t="s">
        <v>51</v>
      </c>
      <c r="AC2" s="7" t="s">
        <v>58</v>
      </c>
      <c r="AD2" t="s">
        <v>70</v>
      </c>
    </row>
    <row r="3" spans="1:64" x14ac:dyDescent="0.25">
      <c r="A3" t="s">
        <v>126</v>
      </c>
      <c r="B3" t="s">
        <v>127</v>
      </c>
      <c r="C3" s="25">
        <v>44781</v>
      </c>
      <c r="D3" s="15">
        <v>42500</v>
      </c>
      <c r="E3" t="s">
        <v>46</v>
      </c>
      <c r="F3" t="s">
        <v>47</v>
      </c>
      <c r="G3" s="15">
        <v>42500</v>
      </c>
      <c r="H3" s="15">
        <v>13000</v>
      </c>
      <c r="I3" s="20">
        <f>H3/G3*100</f>
        <v>30.588235294117649</v>
      </c>
      <c r="J3" s="15">
        <v>172883</v>
      </c>
      <c r="K3" s="15">
        <f>G3-0</f>
        <v>42500</v>
      </c>
      <c r="L3" s="15">
        <v>46800</v>
      </c>
      <c r="M3" s="30">
        <v>101</v>
      </c>
      <c r="N3" s="34">
        <v>200</v>
      </c>
      <c r="O3" s="39">
        <v>0</v>
      </c>
      <c r="P3" s="39">
        <v>0</v>
      </c>
      <c r="Q3" s="15">
        <f>K3/M3</f>
        <v>420.79207920792078</v>
      </c>
      <c r="R3" s="15" t="e">
        <f>K3/O3</f>
        <v>#DIV/0!</v>
      </c>
      <c r="S3" s="44" t="e">
        <f>K3/O3/43560</f>
        <v>#DIV/0!</v>
      </c>
      <c r="T3" s="39">
        <v>101</v>
      </c>
      <c r="U3" s="5" t="s">
        <v>48</v>
      </c>
      <c r="V3" t="s">
        <v>128</v>
      </c>
      <c r="X3" t="s">
        <v>50</v>
      </c>
      <c r="Y3">
        <v>0</v>
      </c>
      <c r="Z3">
        <v>1</v>
      </c>
      <c r="AA3" s="6">
        <v>44938</v>
      </c>
      <c r="AB3" t="s">
        <v>51</v>
      </c>
      <c r="AC3" s="7" t="s">
        <v>58</v>
      </c>
      <c r="AD3" t="s">
        <v>70</v>
      </c>
    </row>
    <row r="4" spans="1:64" x14ac:dyDescent="0.25">
      <c r="A4" t="s">
        <v>126</v>
      </c>
      <c r="B4" t="s">
        <v>127</v>
      </c>
      <c r="C4" s="25">
        <v>45135</v>
      </c>
      <c r="D4" s="15">
        <v>42500</v>
      </c>
      <c r="E4" t="s">
        <v>46</v>
      </c>
      <c r="F4" t="s">
        <v>47</v>
      </c>
      <c r="G4" s="15">
        <v>42500</v>
      </c>
      <c r="H4" s="15">
        <v>21800</v>
      </c>
      <c r="I4" s="20">
        <f>H4/G4*100</f>
        <v>51.294117647058826</v>
      </c>
      <c r="J4" s="15">
        <v>172883</v>
      </c>
      <c r="K4" s="15">
        <f>G4-0</f>
        <v>42500</v>
      </c>
      <c r="L4" s="15">
        <v>46800</v>
      </c>
      <c r="M4" s="30">
        <v>101</v>
      </c>
      <c r="N4" s="34">
        <v>200</v>
      </c>
      <c r="O4" s="39">
        <v>0</v>
      </c>
      <c r="P4" s="39">
        <v>0</v>
      </c>
      <c r="Q4" s="15">
        <f>K4/M4</f>
        <v>420.79207920792078</v>
      </c>
      <c r="R4" s="15" t="e">
        <f>K4/O4</f>
        <v>#DIV/0!</v>
      </c>
      <c r="S4" s="44" t="e">
        <f>K4/O4/43560</f>
        <v>#DIV/0!</v>
      </c>
      <c r="T4" s="39">
        <v>101</v>
      </c>
      <c r="U4" s="5" t="s">
        <v>48</v>
      </c>
      <c r="V4" t="s">
        <v>129</v>
      </c>
      <c r="X4" t="s">
        <v>50</v>
      </c>
      <c r="Y4">
        <v>0</v>
      </c>
      <c r="Z4">
        <v>1</v>
      </c>
      <c r="AA4" s="6">
        <v>44938</v>
      </c>
      <c r="AB4" t="s">
        <v>51</v>
      </c>
      <c r="AC4" s="7" t="s">
        <v>58</v>
      </c>
      <c r="AD4" t="s">
        <v>70</v>
      </c>
    </row>
    <row r="5" spans="1:64" ht="15.75" thickBot="1" x14ac:dyDescent="0.3">
      <c r="A5" t="s">
        <v>130</v>
      </c>
      <c r="B5" t="s">
        <v>131</v>
      </c>
      <c r="C5" s="25">
        <v>44712</v>
      </c>
      <c r="D5" s="15">
        <v>55000</v>
      </c>
      <c r="E5" t="s">
        <v>46</v>
      </c>
      <c r="F5" t="s">
        <v>47</v>
      </c>
      <c r="G5" s="15">
        <v>55000</v>
      </c>
      <c r="H5" s="15">
        <v>13000</v>
      </c>
      <c r="I5" s="20">
        <f>H5/G5*100</f>
        <v>23.636363636363637</v>
      </c>
      <c r="J5" s="15">
        <v>500746</v>
      </c>
      <c r="K5" s="15">
        <f>G5-0</f>
        <v>55000</v>
      </c>
      <c r="L5" s="15">
        <v>46800</v>
      </c>
      <c r="M5" s="30">
        <v>110</v>
      </c>
      <c r="N5" s="34">
        <v>196</v>
      </c>
      <c r="O5" s="39">
        <v>0</v>
      </c>
      <c r="P5" s="39">
        <v>0</v>
      </c>
      <c r="Q5" s="15">
        <f>K5/M5</f>
        <v>500</v>
      </c>
      <c r="R5" s="15" t="e">
        <f>K5/O5</f>
        <v>#DIV/0!</v>
      </c>
      <c r="S5" s="44" t="e">
        <f>K5/O5/43560</f>
        <v>#DIV/0!</v>
      </c>
      <c r="T5" s="39">
        <v>110</v>
      </c>
      <c r="U5" s="5" t="s">
        <v>48</v>
      </c>
      <c r="V5" t="s">
        <v>132</v>
      </c>
      <c r="X5" t="s">
        <v>50</v>
      </c>
      <c r="Y5">
        <v>1</v>
      </c>
      <c r="Z5">
        <v>1</v>
      </c>
      <c r="AA5" t="s">
        <v>59</v>
      </c>
      <c r="AB5" t="s">
        <v>51</v>
      </c>
      <c r="AC5" s="7" t="s">
        <v>58</v>
      </c>
      <c r="AD5" t="s">
        <v>70</v>
      </c>
    </row>
    <row r="6" spans="1:64" ht="15.75" thickTop="1" x14ac:dyDescent="0.25">
      <c r="A6" s="8"/>
      <c r="B6" s="8"/>
      <c r="C6" s="26" t="s">
        <v>165</v>
      </c>
      <c r="D6" s="16">
        <f>+SUM(D2:D5)</f>
        <v>189000</v>
      </c>
      <c r="E6" s="8"/>
      <c r="F6" s="8"/>
      <c r="G6" s="16">
        <f>+SUM(G2:G5)</f>
        <v>189000</v>
      </c>
      <c r="H6" s="16">
        <f>+SUM(H2:H5)</f>
        <v>60800</v>
      </c>
      <c r="I6" s="21"/>
      <c r="J6" s="16">
        <f>+SUM(J2:J5)</f>
        <v>1245608</v>
      </c>
      <c r="K6" s="16">
        <f>+SUM(K2:K5)</f>
        <v>189000</v>
      </c>
      <c r="L6" s="16">
        <f>+SUM(L2:L5)</f>
        <v>187200</v>
      </c>
      <c r="M6" s="31">
        <f>+SUM(M2:M5)</f>
        <v>362</v>
      </c>
      <c r="N6" s="35"/>
      <c r="O6" s="40">
        <f>+SUM(O2:O5)</f>
        <v>0</v>
      </c>
      <c r="P6" s="40">
        <f>+SUM(P2:P5)</f>
        <v>0</v>
      </c>
      <c r="Q6" s="16"/>
      <c r="R6" s="16"/>
      <c r="S6" s="45"/>
      <c r="T6" s="40"/>
      <c r="U6" s="9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64" x14ac:dyDescent="0.25">
      <c r="A7" s="10"/>
      <c r="B7" s="10"/>
      <c r="C7" s="27"/>
      <c r="D7" s="17"/>
      <c r="E7" s="10"/>
      <c r="F7" s="10"/>
      <c r="G7" s="17"/>
      <c r="H7" s="17" t="s">
        <v>166</v>
      </c>
      <c r="I7" s="22">
        <f>H6/G6*100</f>
        <v>32.169312169312171</v>
      </c>
      <c r="J7" s="17"/>
      <c r="K7" s="17"/>
      <c r="L7" s="17" t="s">
        <v>167</v>
      </c>
      <c r="M7" s="32"/>
      <c r="N7" s="36"/>
      <c r="O7" s="41" t="s">
        <v>167</v>
      </c>
      <c r="P7" s="41"/>
      <c r="Q7" s="17"/>
      <c r="R7" s="17" t="s">
        <v>167</v>
      </c>
      <c r="S7" s="46"/>
      <c r="T7" s="41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8"/>
      <c r="D8" s="18"/>
      <c r="E8" s="12"/>
      <c r="F8" s="12"/>
      <c r="G8" s="18"/>
      <c r="H8" s="18" t="s">
        <v>168</v>
      </c>
      <c r="I8" s="23">
        <f>STDEV(I2:I5)</f>
        <v>12.516940587647149</v>
      </c>
      <c r="J8" s="18"/>
      <c r="K8" s="18"/>
      <c r="L8" s="18" t="s">
        <v>169</v>
      </c>
      <c r="M8" s="48">
        <f>K6/M6</f>
        <v>522.09944751381215</v>
      </c>
      <c r="N8" s="37"/>
      <c r="O8" s="42" t="s">
        <v>170</v>
      </c>
      <c r="P8" s="42" t="e">
        <f>K6/O6</f>
        <v>#DIV/0!</v>
      </c>
      <c r="Q8" s="18"/>
      <c r="R8" s="18" t="s">
        <v>171</v>
      </c>
      <c r="S8" s="47" t="e">
        <f>K6/O6/43560</f>
        <v>#DIV/0!</v>
      </c>
      <c r="T8" s="4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10" spans="1:64" x14ac:dyDescent="0.25">
      <c r="J10" s="49" t="s">
        <v>173</v>
      </c>
      <c r="K10" s="15">
        <f>AVERAGE(K2:K5)</f>
        <v>47250</v>
      </c>
    </row>
    <row r="11" spans="1:64" x14ac:dyDescent="0.25">
      <c r="I11" s="54"/>
      <c r="J11" s="51" t="s">
        <v>174</v>
      </c>
      <c r="K11" s="50">
        <v>47250</v>
      </c>
    </row>
  </sheetData>
  <conditionalFormatting sqref="A2:AR5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Excellent FF</vt:lpstr>
      <vt:lpstr>Good FF</vt:lpstr>
      <vt:lpstr>Cul-De-Sac</vt:lpstr>
      <vt:lpstr>Cty Good FF</vt:lpstr>
      <vt:lpstr>66th St FF</vt:lpstr>
      <vt:lpstr>110 Clearbrook &amp; 165 Gas Light</vt:lpstr>
      <vt:lpstr>391 Singapore Trl &amp; 255 Maple G</vt:lpstr>
      <vt:lpstr>344 Sanctuary &amp; 265 Meadowargus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2024-12-30T21:10:06Z</dcterms:created>
  <dcterms:modified xsi:type="dcterms:W3CDTF">2025-01-01T17:04:14Z</dcterms:modified>
</cp:coreProperties>
</file>