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5A93D646-B55F-49A5-AD1D-45D9C9667716}" xr6:coauthVersionLast="47" xr6:coauthVersionMax="47" xr10:uidLastSave="{00000000-0000-0000-0000-000000000000}"/>
  <bookViews>
    <workbookView xWindow="28680" yWindow="-120" windowWidth="29040" windowHeight="15720" activeTab="6" xr2:uid="{C069F9C6-F3C2-4CE9-B5E7-3A5591B60FBE}"/>
  </bookViews>
  <sheets>
    <sheet name="Excellent" sheetId="11" r:id="rId1"/>
    <sheet name="Average" sheetId="10" r:id="rId2"/>
    <sheet name="Good" sheetId="9" r:id="rId3"/>
    <sheet name="Fair" sheetId="8" r:id="rId4"/>
    <sheet name="lacking" sheetId="7" r:id="rId5"/>
    <sheet name="Excellent River Front" sheetId="6" r:id="rId6"/>
    <sheet name="Good River Front" sheetId="5" r:id="rId7"/>
    <sheet name="All" sheetId="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8" l="1"/>
  <c r="S2" i="8" s="1"/>
  <c r="I2" i="8"/>
  <c r="R4" i="10"/>
  <c r="K4" i="10"/>
  <c r="S4" i="10" s="1"/>
  <c r="I4" i="10"/>
  <c r="K2" i="11"/>
  <c r="S2" i="11" s="1"/>
  <c r="K3" i="11"/>
  <c r="Q3" i="11" s="1"/>
  <c r="I3" i="11"/>
  <c r="K2" i="6"/>
  <c r="R2" i="6"/>
  <c r="K3" i="6"/>
  <c r="S3" i="6" s="1"/>
  <c r="I3" i="6"/>
  <c r="P5" i="11"/>
  <c r="O5" i="11"/>
  <c r="M5" i="11"/>
  <c r="L5" i="11"/>
  <c r="J5" i="11"/>
  <c r="H5" i="11"/>
  <c r="G5" i="11"/>
  <c r="D5" i="11"/>
  <c r="K4" i="11"/>
  <c r="S4" i="11" s="1"/>
  <c r="I4" i="11"/>
  <c r="K16" i="11"/>
  <c r="Q16" i="11" s="1"/>
  <c r="I16" i="11"/>
  <c r="I2" i="11"/>
  <c r="P7" i="10"/>
  <c r="O7" i="10"/>
  <c r="M7" i="10"/>
  <c r="L7" i="10"/>
  <c r="J7" i="10"/>
  <c r="H7" i="10"/>
  <c r="G7" i="10"/>
  <c r="D7" i="10"/>
  <c r="K6" i="10"/>
  <c r="S6" i="10" s="1"/>
  <c r="I6" i="10"/>
  <c r="K5" i="10"/>
  <c r="Q5" i="10" s="1"/>
  <c r="I5" i="10"/>
  <c r="K3" i="10"/>
  <c r="R3" i="10" s="1"/>
  <c r="I3" i="10"/>
  <c r="K2" i="10"/>
  <c r="S2" i="10" s="1"/>
  <c r="I2" i="10"/>
  <c r="P2" i="9"/>
  <c r="O2" i="9"/>
  <c r="M2" i="9"/>
  <c r="L2" i="9"/>
  <c r="J2" i="9"/>
  <c r="H2" i="9"/>
  <c r="G2" i="9"/>
  <c r="D2" i="9"/>
  <c r="I4" i="9"/>
  <c r="P4" i="8"/>
  <c r="O4" i="8"/>
  <c r="M4" i="8"/>
  <c r="L4" i="8"/>
  <c r="J4" i="8"/>
  <c r="H4" i="8"/>
  <c r="G4" i="8"/>
  <c r="D4" i="8"/>
  <c r="K3" i="8"/>
  <c r="Q3" i="8" s="1"/>
  <c r="I3" i="8"/>
  <c r="P2" i="7"/>
  <c r="O2" i="7"/>
  <c r="M2" i="7"/>
  <c r="L2" i="7"/>
  <c r="J2" i="7"/>
  <c r="H2" i="7"/>
  <c r="I3" i="7" s="1"/>
  <c r="G2" i="7"/>
  <c r="D2" i="7"/>
  <c r="I4" i="7"/>
  <c r="P6" i="6"/>
  <c r="O6" i="6"/>
  <c r="M6" i="6"/>
  <c r="L6" i="6"/>
  <c r="J6" i="6"/>
  <c r="H6" i="6"/>
  <c r="G6" i="6"/>
  <c r="D6" i="6"/>
  <c r="K5" i="6"/>
  <c r="S5" i="6" s="1"/>
  <c r="I5" i="6"/>
  <c r="K4" i="6"/>
  <c r="Q4" i="6" s="1"/>
  <c r="I4" i="6"/>
  <c r="K15" i="6"/>
  <c r="R15" i="6" s="1"/>
  <c r="I15" i="6"/>
  <c r="I2" i="6"/>
  <c r="P5" i="5"/>
  <c r="O5" i="5"/>
  <c r="M5" i="5"/>
  <c r="L5" i="5"/>
  <c r="J5" i="5"/>
  <c r="H5" i="5"/>
  <c r="G5" i="5"/>
  <c r="D5" i="5"/>
  <c r="K4" i="5"/>
  <c r="S4" i="5" s="1"/>
  <c r="I4" i="5"/>
  <c r="K3" i="5"/>
  <c r="R3" i="5" s="1"/>
  <c r="I3" i="5"/>
  <c r="K2" i="5"/>
  <c r="R2" i="5" s="1"/>
  <c r="I2" i="5"/>
  <c r="I17" i="2"/>
  <c r="K17" i="2"/>
  <c r="S17" i="2" s="1"/>
  <c r="R17" i="2"/>
  <c r="I18" i="2"/>
  <c r="K18" i="2"/>
  <c r="Q18" i="2"/>
  <c r="R18" i="2"/>
  <c r="S18" i="2"/>
  <c r="I19" i="2"/>
  <c r="K19" i="2"/>
  <c r="R19" i="2" s="1"/>
  <c r="Q19" i="2"/>
  <c r="I11" i="2"/>
  <c r="K11" i="2"/>
  <c r="Q11" i="2"/>
  <c r="R11" i="2"/>
  <c r="S11" i="2"/>
  <c r="I2" i="2"/>
  <c r="I23" i="2" s="1"/>
  <c r="K2" i="2"/>
  <c r="Q2" i="2" s="1"/>
  <c r="I7" i="2"/>
  <c r="K7" i="2"/>
  <c r="R7" i="2" s="1"/>
  <c r="Q7" i="2"/>
  <c r="I3" i="2"/>
  <c r="K3" i="2"/>
  <c r="S3" i="2" s="1"/>
  <c r="Q3" i="2"/>
  <c r="R3" i="2"/>
  <c r="I15" i="2"/>
  <c r="K15" i="2"/>
  <c r="Q15" i="2"/>
  <c r="R15" i="2"/>
  <c r="S15" i="2"/>
  <c r="I8" i="2"/>
  <c r="K8" i="2"/>
  <c r="R8" i="2" s="1"/>
  <c r="Q8" i="2"/>
  <c r="I4" i="2"/>
  <c r="K4" i="2"/>
  <c r="Q4" i="2"/>
  <c r="R4" i="2"/>
  <c r="S4" i="2"/>
  <c r="I5" i="2"/>
  <c r="K5" i="2"/>
  <c r="Q5" i="2" s="1"/>
  <c r="I16" i="2"/>
  <c r="K16" i="2"/>
  <c r="R16" i="2" s="1"/>
  <c r="Q16" i="2"/>
  <c r="I6" i="2"/>
  <c r="K6" i="2"/>
  <c r="S6" i="2" s="1"/>
  <c r="Q6" i="2"/>
  <c r="R6" i="2"/>
  <c r="I12" i="2"/>
  <c r="K12" i="2"/>
  <c r="Q12" i="2"/>
  <c r="R12" i="2"/>
  <c r="S12" i="2"/>
  <c r="I20" i="2"/>
  <c r="K20" i="2"/>
  <c r="R20" i="2" s="1"/>
  <c r="Q20" i="2"/>
  <c r="I13" i="2"/>
  <c r="K13" i="2"/>
  <c r="Q13" i="2"/>
  <c r="R13" i="2"/>
  <c r="S13" i="2"/>
  <c r="I14" i="2"/>
  <c r="K14" i="2"/>
  <c r="Q14" i="2" s="1"/>
  <c r="I9" i="2"/>
  <c r="K9" i="2"/>
  <c r="R9" i="2" s="1"/>
  <c r="Q9" i="2"/>
  <c r="I10" i="2"/>
  <c r="K10" i="2"/>
  <c r="S10" i="2" s="1"/>
  <c r="R10" i="2"/>
  <c r="D21" i="2"/>
  <c r="G21" i="2"/>
  <c r="H21" i="2"/>
  <c r="I22" i="2" s="1"/>
  <c r="J21" i="2"/>
  <c r="L21" i="2"/>
  <c r="M21" i="2"/>
  <c r="O21" i="2"/>
  <c r="P21" i="2"/>
  <c r="S3" i="8" l="1"/>
  <c r="R2" i="8"/>
  <c r="Q2" i="8"/>
  <c r="Q4" i="10"/>
  <c r="I9" i="10"/>
  <c r="R3" i="11"/>
  <c r="S3" i="11"/>
  <c r="I7" i="11"/>
  <c r="R16" i="11"/>
  <c r="I7" i="5"/>
  <c r="Q3" i="6"/>
  <c r="R3" i="6"/>
  <c r="S15" i="6"/>
  <c r="S16" i="11"/>
  <c r="Q2" i="11"/>
  <c r="R2" i="11"/>
  <c r="I6" i="11"/>
  <c r="R5" i="10"/>
  <c r="S3" i="10"/>
  <c r="I8" i="10"/>
  <c r="I3" i="9"/>
  <c r="R3" i="8"/>
  <c r="I5" i="8"/>
  <c r="I6" i="8"/>
  <c r="R4" i="6"/>
  <c r="S4" i="6"/>
  <c r="I8" i="6"/>
  <c r="I7" i="6"/>
  <c r="S3" i="5"/>
  <c r="I6" i="5"/>
  <c r="K5" i="11"/>
  <c r="Q4" i="11"/>
  <c r="R4" i="11"/>
  <c r="Q2" i="10"/>
  <c r="S5" i="10"/>
  <c r="R2" i="10"/>
  <c r="K7" i="10"/>
  <c r="Q3" i="10"/>
  <c r="Q6" i="10"/>
  <c r="R6" i="10"/>
  <c r="K2" i="9"/>
  <c r="K4" i="8"/>
  <c r="K2" i="7"/>
  <c r="Q5" i="6"/>
  <c r="Q2" i="6"/>
  <c r="S2" i="6"/>
  <c r="R5" i="6"/>
  <c r="K6" i="6"/>
  <c r="Q15" i="6"/>
  <c r="K5" i="5"/>
  <c r="S2" i="5"/>
  <c r="Q4" i="5"/>
  <c r="R4" i="5"/>
  <c r="Q2" i="5"/>
  <c r="Q3" i="5"/>
  <c r="Q10" i="2"/>
  <c r="Q17" i="2"/>
  <c r="S20" i="2"/>
  <c r="S8" i="2"/>
  <c r="S19" i="2"/>
  <c r="S14" i="2"/>
  <c r="R14" i="2"/>
  <c r="S16" i="2"/>
  <c r="R2" i="2"/>
  <c r="K21" i="2"/>
  <c r="S2" i="2"/>
  <c r="S5" i="2"/>
  <c r="S9" i="2"/>
  <c r="R5" i="2"/>
  <c r="S7" i="2"/>
  <c r="S7" i="11" l="1"/>
  <c r="P7" i="11"/>
  <c r="M7" i="11"/>
  <c r="S9" i="10"/>
  <c r="P9" i="10"/>
  <c r="M9" i="10"/>
  <c r="M4" i="9"/>
  <c r="S4" i="9"/>
  <c r="P4" i="9"/>
  <c r="S6" i="8"/>
  <c r="P6" i="8"/>
  <c r="M6" i="8"/>
  <c r="S4" i="7"/>
  <c r="P4" i="7"/>
  <c r="M4" i="7"/>
  <c r="S8" i="6"/>
  <c r="P8" i="6"/>
  <c r="M8" i="6"/>
  <c r="P7" i="5"/>
  <c r="M7" i="5"/>
  <c r="S7" i="5"/>
  <c r="M23" i="2"/>
  <c r="S23" i="2"/>
  <c r="P23" i="2"/>
</calcChain>
</file>

<file path=xl/sharedStrings.xml><?xml version="1.0" encoding="utf-8"?>
<sst xmlns="http://schemas.openxmlformats.org/spreadsheetml/2006/main" count="827" uniqueCount="129">
  <si>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</si>
  <si>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</si>
  <si>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</si>
  <si>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</si>
  <si>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</si>
  <si>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</si>
  <si>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</si>
  <si>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</si>
  <si>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</si>
  <si>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</si>
  <si>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</si>
  <si>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</si>
  <si>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</si>
  <si>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</si>
  <si>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</si>
  <si>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</si>
  <si>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</si>
  <si>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</si>
  <si>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</si>
  <si>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</si>
  <si>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</si>
  <si>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</si>
  <si>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</si>
  <si>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</si>
  <si>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</si>
  <si>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</si>
  <si>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</si>
  <si>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</si>
  <si>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</si>
  <si>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</si>
  <si>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</si>
  <si>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</si>
  <si>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</si>
  <si>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</si>
  <si>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</si>
  <si>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</si>
  <si>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</si>
  <si>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</si>
  <si>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</si>
  <si>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</si>
  <si>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</si>
  <si>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</si>
  <si>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</si>
  <si>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</si>
  <si>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20-004-006-02</t>
  </si>
  <si>
    <t>6750 SAUGATUCK BEACH RD</t>
  </si>
  <si>
    <t>WD</t>
  </si>
  <si>
    <t>03-ARM'S LENGTH</t>
  </si>
  <si>
    <t>LMB</t>
  </si>
  <si>
    <t>4921/698</t>
  </si>
  <si>
    <t>LMB-LAKE MICHIGAN BACKLOT/CHANNEL</t>
  </si>
  <si>
    <t>NOT INSPECTED</t>
  </si>
  <si>
    <t>RES VAC</t>
  </si>
  <si>
    <t>402</t>
  </si>
  <si>
    <t>GOOD RIVER FRT</t>
  </si>
  <si>
    <t>20-004-007-19</t>
  </si>
  <si>
    <t>3570 NORTH SHORE</t>
  </si>
  <si>
    <t>4757/752</t>
  </si>
  <si>
    <t>20-004-007-20</t>
  </si>
  <si>
    <t>6768 SAUGATUCK BEACH RD</t>
  </si>
  <si>
    <t>4756/189</t>
  </si>
  <si>
    <t>401</t>
  </si>
  <si>
    <t>20-004-026-00</t>
  </si>
  <si>
    <t>116 RIVERSIDE DR</t>
  </si>
  <si>
    <t>4915/206</t>
  </si>
  <si>
    <t>RES 1 FAMILY</t>
  </si>
  <si>
    <t>EXCET RIVER FRT</t>
  </si>
  <si>
    <t>20-020-009-04</t>
  </si>
  <si>
    <t>2975 LAKESHORE DR</t>
  </si>
  <si>
    <t>LKSHR</t>
  </si>
  <si>
    <t>4753/612</t>
  </si>
  <si>
    <t>AVERAGE</t>
  </si>
  <si>
    <t>20-020-026-30</t>
  </si>
  <si>
    <t>6944 WINDWOOD LN</t>
  </si>
  <si>
    <t>4895/89</t>
  </si>
  <si>
    <t>EXCELLENT</t>
  </si>
  <si>
    <t>20-029-026-30</t>
  </si>
  <si>
    <t>HICKORY LN V/L</t>
  </si>
  <si>
    <t>4872/86</t>
  </si>
  <si>
    <t>20-032-007-60</t>
  </si>
  <si>
    <t>PEBBLE LN #6 V/L</t>
  </si>
  <si>
    <t>4898/315</t>
  </si>
  <si>
    <t>FAIR</t>
  </si>
  <si>
    <t>20-032-019-30</t>
  </si>
  <si>
    <t>2525 LAKESHORE DR</t>
  </si>
  <si>
    <t>4785/741</t>
  </si>
  <si>
    <t>20-032-042-11</t>
  </si>
  <si>
    <t>2407 LAKESHORE DR</t>
  </si>
  <si>
    <t>4899/550</t>
  </si>
  <si>
    <t>20-140-005-00</t>
  </si>
  <si>
    <t>6909 BUTTERNUT LN</t>
  </si>
  <si>
    <t>4868/415</t>
  </si>
  <si>
    <t>20-140-015-00</t>
  </si>
  <si>
    <t>2676 CHESTNUT LN</t>
  </si>
  <si>
    <t>4884/214</t>
  </si>
  <si>
    <t>20-140-016-00</t>
  </si>
  <si>
    <t>2675 CHESTNUT N</t>
  </si>
  <si>
    <t>4847/812</t>
  </si>
  <si>
    <t>RESIDENTIAL</t>
  </si>
  <si>
    <t>20-320-002-00</t>
  </si>
  <si>
    <t>3494 RIVERSIDE DR</t>
  </si>
  <si>
    <t>4865/709</t>
  </si>
  <si>
    <t>20-320-007-00</t>
  </si>
  <si>
    <t>3482 RIVERSIDE DR</t>
  </si>
  <si>
    <t>4796/120</t>
  </si>
  <si>
    <t>20-320-012-00</t>
  </si>
  <si>
    <t>3470 RIVERSIDE DR</t>
  </si>
  <si>
    <t>4855/537</t>
  </si>
  <si>
    <t>20-340-010-00</t>
  </si>
  <si>
    <t>3438 RIVERSIDE DR</t>
  </si>
  <si>
    <t xml:space="preserve">WD </t>
  </si>
  <si>
    <t>4779 223</t>
  </si>
  <si>
    <t>20-380-011-00</t>
  </si>
  <si>
    <t>6639 BANDLE ST</t>
  </si>
  <si>
    <t>SBN</t>
  </si>
  <si>
    <t>4889/671</t>
  </si>
  <si>
    <t>20-380-015-00</t>
  </si>
  <si>
    <t>3421 RIVERSIDE DR</t>
  </si>
  <si>
    <t>19-MULTI PARCEL ARM'S LENGTH</t>
  </si>
  <si>
    <t>4773/333</t>
  </si>
  <si>
    <t>20-380-013-00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</si>
  <si>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</si>
  <si>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</si>
  <si>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</si>
  <si>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</si>
  <si>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</si>
  <si>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</si>
  <si>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</si>
  <si>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Concluded FF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</si>
</sst>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166" fontId="0" fillId="4" borderId="0" xfId="0" applyNumberFormat="1" applyFill="1"/>
  </cellXfs>
  <cellStyles count="1">
    <cellStyle name="Normal" xfId="0" builtinId="0"/>
  </cellStyles>
  <dxfs count="20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B718-E5BA-40C9-8EB1-15C3F3BEFB55}">
  <dimension ref="A1:BL16"/>
  <sheetViews>
    <sheetView workbookViewId="0">
      <selection activeCell="M9" sqref="K9:M9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72</v>
      </c>
      <c r="B2" t="s">
        <v>73</v>
      </c>
      <c r="C2" s="25">
        <v>45212</v>
      </c>
      <c r="D2" s="15">
        <v>1146000</v>
      </c>
      <c r="E2" t="s">
        <v>46</v>
      </c>
      <c r="F2" t="s">
        <v>47</v>
      </c>
      <c r="G2" s="15">
        <v>1146000</v>
      </c>
      <c r="H2" s="15">
        <v>490100</v>
      </c>
      <c r="I2" s="20">
        <f>H2/G2*100</f>
        <v>42.766143106457243</v>
      </c>
      <c r="J2" s="15">
        <v>1378249</v>
      </c>
      <c r="K2" s="15">
        <f>G2-835234-1623</f>
        <v>309143</v>
      </c>
      <c r="L2" s="15">
        <v>494991</v>
      </c>
      <c r="M2" s="30">
        <v>183.33</v>
      </c>
      <c r="N2" s="34">
        <v>135</v>
      </c>
      <c r="O2" s="39">
        <v>0.56799999999999995</v>
      </c>
      <c r="P2" s="39">
        <v>0.56799999999999995</v>
      </c>
      <c r="Q2" s="15">
        <f>K2/M2</f>
        <v>1686.2652048219056</v>
      </c>
      <c r="R2" s="15">
        <f>K2/O2</f>
        <v>544265.84507042263</v>
      </c>
      <c r="S2" s="44">
        <f>K2/O2/43560</f>
        <v>12.494624542479858</v>
      </c>
      <c r="T2" s="39">
        <v>183.33</v>
      </c>
      <c r="U2" s="5" t="s">
        <v>48</v>
      </c>
      <c r="V2" t="s">
        <v>74</v>
      </c>
      <c r="X2" t="s">
        <v>50</v>
      </c>
      <c r="Y2">
        <v>0</v>
      </c>
      <c r="Z2">
        <v>0</v>
      </c>
      <c r="AA2" t="s">
        <v>51</v>
      </c>
      <c r="AB2" t="s">
        <v>65</v>
      </c>
      <c r="AC2" s="6" t="s">
        <v>61</v>
      </c>
      <c r="AD2" t="s">
        <v>75</v>
      </c>
    </row>
    <row r="3" spans="1:64" x14ac:dyDescent="0.25">
      <c r="A3" t="s">
        <v>89</v>
      </c>
      <c r="B3" t="s">
        <v>90</v>
      </c>
      <c r="C3" s="25">
        <v>45106</v>
      </c>
      <c r="D3" s="15">
        <v>532500</v>
      </c>
      <c r="E3" t="s">
        <v>46</v>
      </c>
      <c r="F3" t="s">
        <v>47</v>
      </c>
      <c r="G3" s="15">
        <v>532500</v>
      </c>
      <c r="H3" s="15">
        <v>125000</v>
      </c>
      <c r="I3" s="20">
        <f>H3/G3*100</f>
        <v>23.474178403755868</v>
      </c>
      <c r="J3" s="15">
        <v>361032</v>
      </c>
      <c r="K3" s="15">
        <f>G3-264032</f>
        <v>268468</v>
      </c>
      <c r="L3" s="15">
        <v>97000</v>
      </c>
      <c r="M3" s="30">
        <v>100</v>
      </c>
      <c r="N3" s="34">
        <v>200</v>
      </c>
      <c r="O3" s="39">
        <v>0.45900000000000002</v>
      </c>
      <c r="P3" s="39">
        <v>0.45900000000000002</v>
      </c>
      <c r="Q3" s="15">
        <f>K3/M3</f>
        <v>2684.68</v>
      </c>
      <c r="R3" s="15">
        <f>K3/O3</f>
        <v>584897.60348583874</v>
      </c>
      <c r="S3" s="44">
        <f>K3/O3/43560</f>
        <v>13.427401365606951</v>
      </c>
      <c r="T3" s="39">
        <v>100</v>
      </c>
      <c r="U3" s="5" t="s">
        <v>48</v>
      </c>
      <c r="V3" t="s">
        <v>91</v>
      </c>
      <c r="X3" t="s">
        <v>50</v>
      </c>
      <c r="Y3">
        <v>0</v>
      </c>
      <c r="Z3">
        <v>1</v>
      </c>
      <c r="AA3" s="7">
        <v>39601</v>
      </c>
      <c r="AB3" t="s">
        <v>65</v>
      </c>
      <c r="AC3" s="6" t="s">
        <v>61</v>
      </c>
      <c r="AD3" t="s">
        <v>71</v>
      </c>
    </row>
    <row r="4" spans="1:64" ht="15.75" thickBot="1" x14ac:dyDescent="0.3">
      <c r="A4" t="s">
        <v>116</v>
      </c>
      <c r="B4" t="s">
        <v>117</v>
      </c>
      <c r="C4" s="25">
        <v>44725</v>
      </c>
      <c r="D4" s="15">
        <v>629900</v>
      </c>
      <c r="E4" t="s">
        <v>46</v>
      </c>
      <c r="F4" t="s">
        <v>118</v>
      </c>
      <c r="G4" s="15">
        <v>629900</v>
      </c>
      <c r="H4" s="15">
        <v>178500</v>
      </c>
      <c r="I4" s="20">
        <f>H4/G4*100</f>
        <v>28.337831401809808</v>
      </c>
      <c r="J4" s="15">
        <v>648000</v>
      </c>
      <c r="K4" s="15">
        <f>G4-0</f>
        <v>629900</v>
      </c>
      <c r="L4" s="15">
        <v>486000</v>
      </c>
      <c r="M4" s="30">
        <v>180</v>
      </c>
      <c r="N4" s="34">
        <v>0</v>
      </c>
      <c r="O4" s="39">
        <v>0.49</v>
      </c>
      <c r="P4" s="39">
        <v>0.33</v>
      </c>
      <c r="Q4" s="15">
        <f>K4/M4</f>
        <v>3499.4444444444443</v>
      </c>
      <c r="R4" s="15">
        <f>K4/O4</f>
        <v>1285510.2040816327</v>
      </c>
      <c r="S4" s="44">
        <f>K4/O4/43560</f>
        <v>29.511253537227564</v>
      </c>
      <c r="T4" s="39">
        <v>180</v>
      </c>
      <c r="U4" s="5" t="s">
        <v>114</v>
      </c>
      <c r="V4" t="s">
        <v>119</v>
      </c>
      <c r="W4" t="s">
        <v>120</v>
      </c>
      <c r="X4" t="s">
        <v>50</v>
      </c>
      <c r="Y4">
        <v>0</v>
      </c>
      <c r="Z4">
        <v>0</v>
      </c>
      <c r="AA4" s="7">
        <v>44936</v>
      </c>
      <c r="AB4" t="s">
        <v>65</v>
      </c>
      <c r="AC4" s="6" t="s">
        <v>53</v>
      </c>
      <c r="AD4" t="s">
        <v>75</v>
      </c>
      <c r="AE4" t="s">
        <v>75</v>
      </c>
    </row>
    <row r="5" spans="1:64" ht="15.75" thickTop="1" x14ac:dyDescent="0.25">
      <c r="A5" s="8"/>
      <c r="B5" s="8"/>
      <c r="C5" s="26" t="s">
        <v>121</v>
      </c>
      <c r="D5" s="16">
        <f>+SUM(D2:D4)</f>
        <v>2308400</v>
      </c>
      <c r="E5" s="8"/>
      <c r="F5" s="8"/>
      <c r="G5" s="16">
        <f>+SUM(G2:G4)</f>
        <v>2308400</v>
      </c>
      <c r="H5" s="16">
        <f>+SUM(H2:H4)</f>
        <v>793600</v>
      </c>
      <c r="I5" s="21"/>
      <c r="J5" s="16">
        <f>+SUM(J2:J4)</f>
        <v>2387281</v>
      </c>
      <c r="K5" s="16">
        <f>+SUM(K2:K4)</f>
        <v>1207511</v>
      </c>
      <c r="L5" s="16">
        <f>+SUM(L2:L4)</f>
        <v>1077991</v>
      </c>
      <c r="M5" s="31">
        <f>+SUM(M2:M4)</f>
        <v>463.33000000000004</v>
      </c>
      <c r="N5" s="35"/>
      <c r="O5" s="40">
        <f>+SUM(O2:O4)</f>
        <v>1.5169999999999999</v>
      </c>
      <c r="P5" s="40">
        <f>+SUM(P2:P4)</f>
        <v>1.357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122</v>
      </c>
      <c r="I6" s="22">
        <f>H5/G5*100</f>
        <v>34.378790504245366</v>
      </c>
      <c r="J6" s="17"/>
      <c r="K6" s="17"/>
      <c r="L6" s="17" t="s">
        <v>123</v>
      </c>
      <c r="M6" s="32"/>
      <c r="N6" s="36"/>
      <c r="O6" s="41" t="s">
        <v>123</v>
      </c>
      <c r="P6" s="41"/>
      <c r="Q6" s="17"/>
      <c r="R6" s="17" t="s">
        <v>123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124</v>
      </c>
      <c r="I7" s="23">
        <f>STDEV(I2:I4)</f>
        <v>10.033370995684207</v>
      </c>
      <c r="J7" s="18"/>
      <c r="K7" s="18"/>
      <c r="L7" s="18" t="s">
        <v>125</v>
      </c>
      <c r="M7" s="48">
        <f>K5/M5</f>
        <v>2606.1575982561021</v>
      </c>
      <c r="N7" s="37"/>
      <c r="O7" s="42" t="s">
        <v>126</v>
      </c>
      <c r="P7" s="42">
        <f>K5/O5</f>
        <v>795986.15688859602</v>
      </c>
      <c r="Q7" s="18"/>
      <c r="R7" s="18" t="s">
        <v>127</v>
      </c>
      <c r="S7" s="47">
        <f>K5/O5/43560</f>
        <v>18.273327752263452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K9" s="49"/>
      <c r="L9" s="50" t="s">
        <v>128</v>
      </c>
      <c r="M9" s="51">
        <v>2600</v>
      </c>
    </row>
    <row r="16" spans="1:64" x14ac:dyDescent="0.25">
      <c r="A16" t="s">
        <v>112</v>
      </c>
      <c r="B16" t="s">
        <v>113</v>
      </c>
      <c r="C16" s="25">
        <v>45184</v>
      </c>
      <c r="D16" s="15">
        <v>1750000</v>
      </c>
      <c r="E16" t="s">
        <v>46</v>
      </c>
      <c r="F16" t="s">
        <v>47</v>
      </c>
      <c r="G16" s="15">
        <v>1750000</v>
      </c>
      <c r="H16" s="15">
        <v>296400</v>
      </c>
      <c r="I16" s="20">
        <f>H16/G16*100</f>
        <v>16.937142857142856</v>
      </c>
      <c r="J16" s="15">
        <v>951783</v>
      </c>
      <c r="K16" s="15">
        <f>G16-773583</f>
        <v>976417</v>
      </c>
      <c r="L16" s="15">
        <v>178200</v>
      </c>
      <c r="M16" s="30">
        <v>66</v>
      </c>
      <c r="N16" s="34">
        <v>120</v>
      </c>
      <c r="O16" s="39">
        <v>0.182</v>
      </c>
      <c r="P16" s="39">
        <v>0.182</v>
      </c>
      <c r="Q16" s="15">
        <f>K16/M16</f>
        <v>14794.19696969697</v>
      </c>
      <c r="R16" s="15">
        <f>K16/O16</f>
        <v>5364928.5714285718</v>
      </c>
      <c r="S16" s="44">
        <f>K16/O16/43560</f>
        <v>123.16181293454022</v>
      </c>
      <c r="T16" s="39">
        <v>66</v>
      </c>
      <c r="U16" s="5" t="s">
        <v>114</v>
      </c>
      <c r="V16" t="s">
        <v>115</v>
      </c>
      <c r="X16" t="s">
        <v>50</v>
      </c>
      <c r="Y16">
        <v>0</v>
      </c>
      <c r="Z16">
        <v>1</v>
      </c>
      <c r="AA16" s="7">
        <v>45190</v>
      </c>
      <c r="AB16" t="s">
        <v>65</v>
      </c>
      <c r="AC16" s="6" t="s">
        <v>61</v>
      </c>
      <c r="AD16" t="s">
        <v>75</v>
      </c>
    </row>
  </sheetData>
  <conditionalFormatting sqref="A2:AR2 A16:AR16 A4:AR4">
    <cfRule type="expression" dxfId="19" priority="3" stopIfTrue="1">
      <formula>MOD(ROW(),4)&gt;1</formula>
    </cfRule>
    <cfRule type="expression" dxfId="18" priority="4" stopIfTrue="1">
      <formula>MOD(ROW(),4)&lt;2</formula>
    </cfRule>
  </conditionalFormatting>
  <conditionalFormatting sqref="A3:AR3">
    <cfRule type="expression" dxfId="17" priority="1" stopIfTrue="1">
      <formula>MOD(ROW(),4)&gt;1</formula>
    </cfRule>
    <cfRule type="expression" dxfId="16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4829-48EC-459E-9724-64D9E8633E3A}">
  <dimension ref="A1:BL11"/>
  <sheetViews>
    <sheetView workbookViewId="0">
      <selection activeCell="A5" sqref="A5:XFD5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67</v>
      </c>
      <c r="B2" t="s">
        <v>68</v>
      </c>
      <c r="C2" s="25">
        <v>44666</v>
      </c>
      <c r="D2" s="15">
        <v>1350000</v>
      </c>
      <c r="E2" t="s">
        <v>46</v>
      </c>
      <c r="F2" t="s">
        <v>47</v>
      </c>
      <c r="G2" s="15">
        <v>1350000</v>
      </c>
      <c r="H2" s="15">
        <v>839400</v>
      </c>
      <c r="I2" s="20">
        <f>H2/G2*100</f>
        <v>62.177777777777777</v>
      </c>
      <c r="J2" s="15">
        <v>1327930</v>
      </c>
      <c r="K2" s="15">
        <f>G2-0</f>
        <v>1350000</v>
      </c>
      <c r="L2" s="15">
        <v>1327930</v>
      </c>
      <c r="M2" s="30">
        <v>1369</v>
      </c>
      <c r="N2" s="34">
        <v>0</v>
      </c>
      <c r="O2" s="39">
        <v>45.85</v>
      </c>
      <c r="P2" s="39">
        <v>42.84</v>
      </c>
      <c r="Q2" s="15">
        <f>K2/M2</f>
        <v>986.12125639152669</v>
      </c>
      <c r="R2" s="15">
        <f>K2/O2</f>
        <v>29443.838604143948</v>
      </c>
      <c r="S2" s="44">
        <f>K2/O2/43560</f>
        <v>0.67593752534765716</v>
      </c>
      <c r="T2" s="39">
        <v>1369</v>
      </c>
      <c r="U2" s="5" t="s">
        <v>69</v>
      </c>
      <c r="V2" t="s">
        <v>70</v>
      </c>
      <c r="X2" t="s">
        <v>50</v>
      </c>
      <c r="Y2">
        <v>0</v>
      </c>
      <c r="Z2">
        <v>1</v>
      </c>
      <c r="AA2" s="7">
        <v>39622</v>
      </c>
      <c r="AB2" t="s">
        <v>65</v>
      </c>
      <c r="AC2" s="6" t="s">
        <v>53</v>
      </c>
      <c r="AD2" t="s">
        <v>71</v>
      </c>
    </row>
    <row r="3" spans="1:64" x14ac:dyDescent="0.25">
      <c r="A3" t="s">
        <v>76</v>
      </c>
      <c r="B3" t="s">
        <v>77</v>
      </c>
      <c r="C3" s="25">
        <v>45114</v>
      </c>
      <c r="D3" s="15">
        <v>170000</v>
      </c>
      <c r="E3" t="s">
        <v>46</v>
      </c>
      <c r="F3" t="s">
        <v>47</v>
      </c>
      <c r="G3" s="15">
        <v>170000</v>
      </c>
      <c r="H3" s="15">
        <v>104400</v>
      </c>
      <c r="I3" s="20">
        <f>H3/G3*100</f>
        <v>61.411764705882355</v>
      </c>
      <c r="J3" s="15">
        <v>194669</v>
      </c>
      <c r="K3" s="15">
        <f>G3-0</f>
        <v>170000</v>
      </c>
      <c r="L3" s="15">
        <v>194669</v>
      </c>
      <c r="M3" s="30">
        <v>200.69</v>
      </c>
      <c r="N3" s="34">
        <v>0</v>
      </c>
      <c r="O3" s="39">
        <v>0.73</v>
      </c>
      <c r="P3" s="39">
        <v>0.73</v>
      </c>
      <c r="Q3" s="15">
        <f>K3/M3</f>
        <v>847.07758234092387</v>
      </c>
      <c r="R3" s="15">
        <f>K3/O3</f>
        <v>232876.71232876714</v>
      </c>
      <c r="S3" s="44">
        <f>K3/O3/43560</f>
        <v>5.3461136898247741</v>
      </c>
      <c r="T3" s="39">
        <v>200.69</v>
      </c>
      <c r="U3" s="5" t="s">
        <v>48</v>
      </c>
      <c r="V3" t="s">
        <v>78</v>
      </c>
      <c r="X3" t="s">
        <v>50</v>
      </c>
      <c r="Y3">
        <v>0</v>
      </c>
      <c r="Z3">
        <v>1</v>
      </c>
      <c r="AA3" t="s">
        <v>51</v>
      </c>
      <c r="AB3" t="s">
        <v>52</v>
      </c>
      <c r="AC3" s="6" t="s">
        <v>53</v>
      </c>
      <c r="AD3" t="s">
        <v>71</v>
      </c>
    </row>
    <row r="4" spans="1:64" x14ac:dyDescent="0.25">
      <c r="A4" t="s">
        <v>79</v>
      </c>
      <c r="B4" t="s">
        <v>80</v>
      </c>
      <c r="C4" s="25">
        <v>45204</v>
      </c>
      <c r="D4" s="15">
        <v>254500</v>
      </c>
      <c r="E4" t="s">
        <v>46</v>
      </c>
      <c r="F4" t="s">
        <v>47</v>
      </c>
      <c r="G4" s="15">
        <v>254500</v>
      </c>
      <c r="H4" s="15">
        <v>46600</v>
      </c>
      <c r="I4" s="20">
        <f>H4/G4*100</f>
        <v>18.310412573673869</v>
      </c>
      <c r="J4" s="15">
        <v>93100</v>
      </c>
      <c r="K4" s="15">
        <f>G4-0</f>
        <v>254500</v>
      </c>
      <c r="L4" s="15">
        <v>93100</v>
      </c>
      <c r="M4" s="30">
        <v>190</v>
      </c>
      <c r="N4" s="34">
        <v>0</v>
      </c>
      <c r="O4" s="39">
        <v>2.0870000000000002</v>
      </c>
      <c r="P4" s="39">
        <v>2.0870000000000002</v>
      </c>
      <c r="Q4" s="15">
        <f>K4/M4</f>
        <v>1339.4736842105262</v>
      </c>
      <c r="R4" s="15">
        <f>K4/O4</f>
        <v>121945.37613799711</v>
      </c>
      <c r="S4" s="44">
        <f>K4/O4/43560</f>
        <v>2.7994806275940567</v>
      </c>
      <c r="T4" s="39">
        <v>190</v>
      </c>
      <c r="U4" s="5" t="s">
        <v>48</v>
      </c>
      <c r="V4" t="s">
        <v>81</v>
      </c>
      <c r="X4" t="s">
        <v>50</v>
      </c>
      <c r="Y4">
        <v>0</v>
      </c>
      <c r="Z4">
        <v>0</v>
      </c>
      <c r="AA4" s="7">
        <v>41935</v>
      </c>
      <c r="AB4" t="s">
        <v>52</v>
      </c>
      <c r="AC4" s="6" t="s">
        <v>53</v>
      </c>
      <c r="AD4" t="s">
        <v>82</v>
      </c>
    </row>
    <row r="5" spans="1:64" x14ac:dyDescent="0.25">
      <c r="A5" t="s">
        <v>86</v>
      </c>
      <c r="B5" t="s">
        <v>87</v>
      </c>
      <c r="C5" s="25">
        <v>45230</v>
      </c>
      <c r="D5" s="15">
        <v>865000</v>
      </c>
      <c r="E5" t="s">
        <v>46</v>
      </c>
      <c r="F5" t="s">
        <v>47</v>
      </c>
      <c r="G5" s="15">
        <v>865000</v>
      </c>
      <c r="H5" s="15">
        <v>37700</v>
      </c>
      <c r="I5" s="20">
        <f>H5/G5*100</f>
        <v>4.3583815028901736</v>
      </c>
      <c r="J5" s="15">
        <v>916581</v>
      </c>
      <c r="K5" s="15">
        <f>G5-767356</f>
        <v>97644</v>
      </c>
      <c r="L5" s="15">
        <v>149225</v>
      </c>
      <c r="M5" s="30">
        <v>153.84</v>
      </c>
      <c r="N5" s="34">
        <v>0</v>
      </c>
      <c r="O5" s="39">
        <v>1.0900000000000001</v>
      </c>
      <c r="P5" s="39">
        <v>1.0900000000000001</v>
      </c>
      <c r="Q5" s="15">
        <f>K5/M5</f>
        <v>634.71138845553821</v>
      </c>
      <c r="R5" s="15">
        <f>K5/O5</f>
        <v>89581.65137614678</v>
      </c>
      <c r="S5" s="44">
        <f>K5/O5/43560</f>
        <v>2.0565117395809636</v>
      </c>
      <c r="T5" s="39">
        <v>153.84</v>
      </c>
      <c r="U5" s="5" t="s">
        <v>48</v>
      </c>
      <c r="V5" t="s">
        <v>88</v>
      </c>
      <c r="X5" t="s">
        <v>50</v>
      </c>
      <c r="Y5">
        <v>0</v>
      </c>
      <c r="Z5">
        <v>0</v>
      </c>
      <c r="AA5" t="s">
        <v>51</v>
      </c>
      <c r="AB5" t="s">
        <v>52</v>
      </c>
      <c r="AC5" s="6" t="s">
        <v>61</v>
      </c>
      <c r="AD5" t="s">
        <v>71</v>
      </c>
    </row>
    <row r="6" spans="1:64" ht="15.75" thickBot="1" x14ac:dyDescent="0.3">
      <c r="A6" t="s">
        <v>95</v>
      </c>
      <c r="B6" t="s">
        <v>96</v>
      </c>
      <c r="C6" s="25">
        <v>45021</v>
      </c>
      <c r="D6" s="15">
        <v>575000</v>
      </c>
      <c r="E6" t="s">
        <v>46</v>
      </c>
      <c r="F6" t="s">
        <v>47</v>
      </c>
      <c r="G6" s="15">
        <v>575000</v>
      </c>
      <c r="H6" s="15">
        <v>195400</v>
      </c>
      <c r="I6" s="20">
        <f>H6/G6*100</f>
        <v>33.982608695652175</v>
      </c>
      <c r="J6" s="15">
        <v>595271</v>
      </c>
      <c r="K6" s="15">
        <f>G6-498271</f>
        <v>76729</v>
      </c>
      <c r="L6" s="15">
        <v>97000</v>
      </c>
      <c r="M6" s="30">
        <v>100</v>
      </c>
      <c r="N6" s="34">
        <v>200</v>
      </c>
      <c r="O6" s="39">
        <v>0.45900000000000002</v>
      </c>
      <c r="P6" s="39">
        <v>0.45900000000000002</v>
      </c>
      <c r="Q6" s="15">
        <f>K6/M6</f>
        <v>767.29</v>
      </c>
      <c r="R6" s="15">
        <f>K6/O6</f>
        <v>167165.57734204791</v>
      </c>
      <c r="S6" s="44">
        <f>K6/O6/43560</f>
        <v>3.8375936028936617</v>
      </c>
      <c r="T6" s="39">
        <v>100</v>
      </c>
      <c r="U6" s="5" t="s">
        <v>48</v>
      </c>
      <c r="V6" t="s">
        <v>97</v>
      </c>
      <c r="X6" t="s">
        <v>50</v>
      </c>
      <c r="Y6">
        <v>0</v>
      </c>
      <c r="Z6">
        <v>1</v>
      </c>
      <c r="AA6" s="7">
        <v>39608</v>
      </c>
      <c r="AB6" t="s">
        <v>98</v>
      </c>
      <c r="AC6" s="6" t="s">
        <v>61</v>
      </c>
      <c r="AD6" t="s">
        <v>71</v>
      </c>
    </row>
    <row r="7" spans="1:64" ht="15.75" thickTop="1" x14ac:dyDescent="0.25">
      <c r="A7" s="8"/>
      <c r="B7" s="8"/>
      <c r="C7" s="26" t="s">
        <v>121</v>
      </c>
      <c r="D7" s="16">
        <f>+SUM(D2:D6)</f>
        <v>3214500</v>
      </c>
      <c r="E7" s="8"/>
      <c r="F7" s="8"/>
      <c r="G7" s="16">
        <f>+SUM(G2:G6)</f>
        <v>3214500</v>
      </c>
      <c r="H7" s="16">
        <f>+SUM(H2:H6)</f>
        <v>1223500</v>
      </c>
      <c r="I7" s="21"/>
      <c r="J7" s="16">
        <f>+SUM(J2:J6)</f>
        <v>3127551</v>
      </c>
      <c r="K7" s="16">
        <f>+SUM(K2:K6)</f>
        <v>1948873</v>
      </c>
      <c r="L7" s="16">
        <f>+SUM(L2:L6)</f>
        <v>1861924</v>
      </c>
      <c r="M7" s="31">
        <f>+SUM(M2:M6)</f>
        <v>2013.53</v>
      </c>
      <c r="N7" s="35"/>
      <c r="O7" s="40">
        <f>+SUM(O2:O6)</f>
        <v>50.216000000000008</v>
      </c>
      <c r="P7" s="40">
        <f>+SUM(P2:P6)</f>
        <v>47.20600000000001</v>
      </c>
      <c r="Q7" s="16"/>
      <c r="R7" s="16"/>
      <c r="S7" s="45"/>
      <c r="T7" s="40"/>
      <c r="U7" s="9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64" x14ac:dyDescent="0.25">
      <c r="A8" s="10"/>
      <c r="B8" s="10"/>
      <c r="C8" s="27"/>
      <c r="D8" s="17"/>
      <c r="E8" s="10"/>
      <c r="F8" s="10"/>
      <c r="G8" s="17"/>
      <c r="H8" s="17" t="s">
        <v>122</v>
      </c>
      <c r="I8" s="22">
        <f>H7/G7*100</f>
        <v>38.061906983978844</v>
      </c>
      <c r="J8" s="17"/>
      <c r="K8" s="17"/>
      <c r="L8" s="17" t="s">
        <v>123</v>
      </c>
      <c r="M8" s="32"/>
      <c r="N8" s="36"/>
      <c r="O8" s="41" t="s">
        <v>123</v>
      </c>
      <c r="P8" s="41"/>
      <c r="Q8" s="17"/>
      <c r="R8" s="17" t="s">
        <v>123</v>
      </c>
      <c r="S8" s="46"/>
      <c r="T8" s="4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4" x14ac:dyDescent="0.25">
      <c r="A9" s="12"/>
      <c r="B9" s="12"/>
      <c r="C9" s="28"/>
      <c r="D9" s="18"/>
      <c r="E9" s="12"/>
      <c r="F9" s="12"/>
      <c r="G9" s="18"/>
      <c r="H9" s="18" t="s">
        <v>124</v>
      </c>
      <c r="I9" s="23">
        <f>STDEV(I2:I6)</f>
        <v>25.735217193719752</v>
      </c>
      <c r="J9" s="18"/>
      <c r="K9" s="18"/>
      <c r="L9" s="18" t="s">
        <v>125</v>
      </c>
      <c r="M9" s="48">
        <f>K7/M7</f>
        <v>967.8887327231281</v>
      </c>
      <c r="N9" s="37"/>
      <c r="O9" s="42" t="s">
        <v>126</v>
      </c>
      <c r="P9" s="42">
        <f>K7/O7</f>
        <v>38809.801656842435</v>
      </c>
      <c r="Q9" s="18"/>
      <c r="R9" s="18" t="s">
        <v>127</v>
      </c>
      <c r="S9" s="47">
        <f>K7/O7/43560</f>
        <v>0.89095045125900907</v>
      </c>
      <c r="T9" s="42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1" spans="1:64" x14ac:dyDescent="0.25">
      <c r="K11" s="49"/>
      <c r="L11" s="50" t="s">
        <v>128</v>
      </c>
      <c r="M11" s="51">
        <v>970</v>
      </c>
    </row>
  </sheetData>
  <conditionalFormatting sqref="A2:AR3 A5:AR6">
    <cfRule type="expression" dxfId="15" priority="3" stopIfTrue="1">
      <formula>MOD(ROW(),4)&gt;1</formula>
    </cfRule>
    <cfRule type="expression" dxfId="14" priority="4" stopIfTrue="1">
      <formula>MOD(ROW(),4)&lt;2</formula>
    </cfRule>
  </conditionalFormatting>
  <conditionalFormatting sqref="A4:AR4">
    <cfRule type="expression" dxfId="13" priority="1" stopIfTrue="1">
      <formula>MOD(ROW(),4)&gt;1</formula>
    </cfRule>
    <cfRule type="expression" dxfId="1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9566-2AD3-43C6-8DF9-04F14AC8C5CC}">
  <dimension ref="A1:BL4"/>
  <sheetViews>
    <sheetView topLeftCell="U1" workbookViewId="0">
      <selection activeCell="X30" sqref="X30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ht="15.75" thickBot="1" x14ac:dyDescent="0.3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8"/>
      <c r="B2" s="8"/>
      <c r="C2" s="26" t="s">
        <v>121</v>
      </c>
      <c r="D2" s="16" t="e">
        <f>+SUM(#REF!)</f>
        <v>#REF!</v>
      </c>
      <c r="E2" s="8"/>
      <c r="F2" s="8"/>
      <c r="G2" s="16" t="e">
        <f>+SUM(#REF!)</f>
        <v>#REF!</v>
      </c>
      <c r="H2" s="16" t="e">
        <f>+SUM(#REF!)</f>
        <v>#REF!</v>
      </c>
      <c r="I2" s="21"/>
      <c r="J2" s="16" t="e">
        <f>+SUM(#REF!)</f>
        <v>#REF!</v>
      </c>
      <c r="K2" s="16" t="e">
        <f>+SUM(#REF!)</f>
        <v>#REF!</v>
      </c>
      <c r="L2" s="16" t="e">
        <f>+SUM(#REF!)</f>
        <v>#REF!</v>
      </c>
      <c r="M2" s="31" t="e">
        <f>+SUM(#REF!)</f>
        <v>#REF!</v>
      </c>
      <c r="N2" s="35"/>
      <c r="O2" s="40" t="e">
        <f>+SUM(#REF!)</f>
        <v>#REF!</v>
      </c>
      <c r="P2" s="40" t="e">
        <f>+SUM(#REF!)</f>
        <v>#REF!</v>
      </c>
      <c r="Q2" s="16"/>
      <c r="R2" s="16"/>
      <c r="S2" s="45"/>
      <c r="T2" s="40"/>
      <c r="U2" s="9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64" x14ac:dyDescent="0.25">
      <c r="A3" s="10"/>
      <c r="B3" s="10"/>
      <c r="C3" s="27"/>
      <c r="D3" s="17"/>
      <c r="E3" s="10"/>
      <c r="F3" s="10"/>
      <c r="G3" s="17"/>
      <c r="H3" s="17" t="s">
        <v>122</v>
      </c>
      <c r="I3" s="22" t="e">
        <f>H2/G2*100</f>
        <v>#REF!</v>
      </c>
      <c r="J3" s="17"/>
      <c r="K3" s="17"/>
      <c r="L3" s="17" t="s">
        <v>123</v>
      </c>
      <c r="M3" s="32"/>
      <c r="N3" s="36"/>
      <c r="O3" s="41" t="s">
        <v>123</v>
      </c>
      <c r="P3" s="41"/>
      <c r="Q3" s="17"/>
      <c r="R3" s="17" t="s">
        <v>123</v>
      </c>
      <c r="S3" s="46"/>
      <c r="T3" s="41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64" x14ac:dyDescent="0.25">
      <c r="A4" s="12"/>
      <c r="B4" s="12"/>
      <c r="C4" s="28"/>
      <c r="D4" s="18"/>
      <c r="E4" s="12"/>
      <c r="F4" s="12"/>
      <c r="G4" s="18"/>
      <c r="H4" s="18" t="s">
        <v>124</v>
      </c>
      <c r="I4" s="23" t="e">
        <f>STDEV(#REF!)</f>
        <v>#REF!</v>
      </c>
      <c r="J4" s="18"/>
      <c r="K4" s="18"/>
      <c r="L4" s="18" t="s">
        <v>125</v>
      </c>
      <c r="M4" s="48" t="e">
        <f>K2/M2</f>
        <v>#REF!</v>
      </c>
      <c r="N4" s="37"/>
      <c r="O4" s="42" t="s">
        <v>126</v>
      </c>
      <c r="P4" s="42" t="e">
        <f>K2/O2</f>
        <v>#REF!</v>
      </c>
      <c r="Q4" s="18"/>
      <c r="R4" s="18" t="s">
        <v>127</v>
      </c>
      <c r="S4" s="47" t="e">
        <f>K2/O2/43560</f>
        <v>#REF!</v>
      </c>
      <c r="T4" s="42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BABE-560C-47C9-BC9D-09A33CBCA6BD}">
  <dimension ref="A1:BL9"/>
  <sheetViews>
    <sheetView workbookViewId="0">
      <selection activeCell="M9" sqref="K9:M9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86</v>
      </c>
      <c r="B2" t="s">
        <v>87</v>
      </c>
      <c r="C2" s="25">
        <v>45230</v>
      </c>
      <c r="D2" s="15">
        <v>865000</v>
      </c>
      <c r="E2" t="s">
        <v>46</v>
      </c>
      <c r="F2" t="s">
        <v>47</v>
      </c>
      <c r="G2" s="15">
        <v>865000</v>
      </c>
      <c r="H2" s="15">
        <v>37700</v>
      </c>
      <c r="I2" s="20">
        <f>H2/G2*100</f>
        <v>4.3583815028901736</v>
      </c>
      <c r="J2" s="15">
        <v>916581</v>
      </c>
      <c r="K2" s="15">
        <f>G2-767356</f>
        <v>97644</v>
      </c>
      <c r="L2" s="15">
        <v>149225</v>
      </c>
      <c r="M2" s="30">
        <v>153.84</v>
      </c>
      <c r="N2" s="34">
        <v>0</v>
      </c>
      <c r="O2" s="39">
        <v>1.0900000000000001</v>
      </c>
      <c r="P2" s="39">
        <v>1.0900000000000001</v>
      </c>
      <c r="Q2" s="15">
        <f>K2/M2</f>
        <v>634.71138845553821</v>
      </c>
      <c r="R2" s="15">
        <f>K2/O2</f>
        <v>89581.65137614678</v>
      </c>
      <c r="S2" s="44">
        <f>K2/O2/43560</f>
        <v>2.0565117395809636</v>
      </c>
      <c r="T2" s="39">
        <v>153.84</v>
      </c>
      <c r="U2" s="5" t="s">
        <v>48</v>
      </c>
      <c r="V2" t="s">
        <v>88</v>
      </c>
      <c r="X2" t="s">
        <v>50</v>
      </c>
      <c r="Y2">
        <v>0</v>
      </c>
      <c r="Z2">
        <v>0</v>
      </c>
      <c r="AA2" t="s">
        <v>51</v>
      </c>
      <c r="AB2" t="s">
        <v>52</v>
      </c>
      <c r="AC2" s="6" t="s">
        <v>61</v>
      </c>
      <c r="AD2" t="s">
        <v>71</v>
      </c>
    </row>
    <row r="3" spans="1:64" ht="15.75" thickBot="1" x14ac:dyDescent="0.3">
      <c r="A3" t="s">
        <v>92</v>
      </c>
      <c r="B3" t="s">
        <v>93</v>
      </c>
      <c r="C3" s="25">
        <v>45170</v>
      </c>
      <c r="D3" s="15">
        <v>550000</v>
      </c>
      <c r="E3" t="s">
        <v>46</v>
      </c>
      <c r="F3" t="s">
        <v>47</v>
      </c>
      <c r="G3" s="15">
        <v>550000</v>
      </c>
      <c r="H3" s="15">
        <v>179200</v>
      </c>
      <c r="I3" s="20">
        <f>H3/G3*100</f>
        <v>32.581818181818186</v>
      </c>
      <c r="J3" s="15">
        <v>573387</v>
      </c>
      <c r="K3" s="15">
        <f>G3-519487</f>
        <v>30513</v>
      </c>
      <c r="L3" s="15">
        <v>53900</v>
      </c>
      <c r="M3" s="30">
        <v>110</v>
      </c>
      <c r="N3" s="34">
        <v>200</v>
      </c>
      <c r="O3" s="39">
        <v>0.505</v>
      </c>
      <c r="P3" s="39">
        <v>0.505</v>
      </c>
      <c r="Q3" s="15">
        <f>K3/M3</f>
        <v>277.39090909090908</v>
      </c>
      <c r="R3" s="15">
        <f>K3/O3</f>
        <v>60421.782178217822</v>
      </c>
      <c r="S3" s="44">
        <f>K3/O3/43560</f>
        <v>1.3870932547800234</v>
      </c>
      <c r="T3" s="39">
        <v>110</v>
      </c>
      <c r="U3" s="5" t="s">
        <v>48</v>
      </c>
      <c r="V3" t="s">
        <v>94</v>
      </c>
      <c r="X3" t="s">
        <v>50</v>
      </c>
      <c r="Y3">
        <v>0</v>
      </c>
      <c r="Z3">
        <v>1</v>
      </c>
      <c r="AA3" s="7">
        <v>39608</v>
      </c>
      <c r="AB3" t="s">
        <v>65</v>
      </c>
      <c r="AC3" s="6" t="s">
        <v>61</v>
      </c>
      <c r="AD3" t="s">
        <v>82</v>
      </c>
    </row>
    <row r="4" spans="1:64" ht="15.75" thickTop="1" x14ac:dyDescent="0.25">
      <c r="A4" s="8"/>
      <c r="B4" s="8"/>
      <c r="C4" s="26" t="s">
        <v>121</v>
      </c>
      <c r="D4" s="16">
        <f>+SUM(D2:D3)</f>
        <v>1415000</v>
      </c>
      <c r="E4" s="8"/>
      <c r="F4" s="8"/>
      <c r="G4" s="16">
        <f>+SUM(G2:G3)</f>
        <v>1415000</v>
      </c>
      <c r="H4" s="16">
        <f>+SUM(H2:H3)</f>
        <v>216900</v>
      </c>
      <c r="I4" s="21"/>
      <c r="J4" s="16">
        <f>+SUM(J2:J3)</f>
        <v>1489968</v>
      </c>
      <c r="K4" s="16">
        <f>+SUM(K2:K3)</f>
        <v>128157</v>
      </c>
      <c r="L4" s="16">
        <f>+SUM(L2:L3)</f>
        <v>203125</v>
      </c>
      <c r="M4" s="31">
        <f>+SUM(M2:M3)</f>
        <v>263.84000000000003</v>
      </c>
      <c r="N4" s="35"/>
      <c r="O4" s="40">
        <f>+SUM(O2:O3)</f>
        <v>1.5950000000000002</v>
      </c>
      <c r="P4" s="40">
        <f>+SUM(P2:P3)</f>
        <v>1.5950000000000002</v>
      </c>
      <c r="Q4" s="16"/>
      <c r="R4" s="16"/>
      <c r="S4" s="45"/>
      <c r="T4" s="40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64" x14ac:dyDescent="0.25">
      <c r="A5" s="10"/>
      <c r="B5" s="10"/>
      <c r="C5" s="27"/>
      <c r="D5" s="17"/>
      <c r="E5" s="10"/>
      <c r="F5" s="10"/>
      <c r="G5" s="17"/>
      <c r="H5" s="17" t="s">
        <v>122</v>
      </c>
      <c r="I5" s="22">
        <f>H4/G4*100</f>
        <v>15.328621908127207</v>
      </c>
      <c r="J5" s="17"/>
      <c r="K5" s="17"/>
      <c r="L5" s="17" t="s">
        <v>123</v>
      </c>
      <c r="M5" s="32"/>
      <c r="N5" s="36"/>
      <c r="O5" s="41" t="s">
        <v>123</v>
      </c>
      <c r="P5" s="41"/>
      <c r="Q5" s="17"/>
      <c r="R5" s="17" t="s">
        <v>123</v>
      </c>
      <c r="S5" s="46"/>
      <c r="T5" s="4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64" x14ac:dyDescent="0.25">
      <c r="A6" s="12"/>
      <c r="B6" s="12"/>
      <c r="C6" s="28"/>
      <c r="D6" s="18"/>
      <c r="E6" s="12"/>
      <c r="F6" s="12"/>
      <c r="G6" s="18"/>
      <c r="H6" s="18" t="s">
        <v>124</v>
      </c>
      <c r="I6" s="23">
        <f>STDEV(I2:I3)</f>
        <v>19.956983464059125</v>
      </c>
      <c r="J6" s="18"/>
      <c r="K6" s="18"/>
      <c r="L6" s="18" t="s">
        <v>125</v>
      </c>
      <c r="M6" s="48">
        <f>K4/M4</f>
        <v>485.73756822316551</v>
      </c>
      <c r="N6" s="37"/>
      <c r="O6" s="42" t="s">
        <v>126</v>
      </c>
      <c r="P6" s="42">
        <f>K4/O4</f>
        <v>80349.216300940432</v>
      </c>
      <c r="Q6" s="18"/>
      <c r="R6" s="18" t="s">
        <v>127</v>
      </c>
      <c r="S6" s="47">
        <f>K4/O4/43560</f>
        <v>1.8445641942364654</v>
      </c>
      <c r="T6" s="42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9" spans="1:64" x14ac:dyDescent="0.25">
      <c r="K9" s="49"/>
      <c r="L9" s="50" t="s">
        <v>128</v>
      </c>
      <c r="M9" s="51">
        <v>490</v>
      </c>
    </row>
  </sheetData>
  <conditionalFormatting sqref="A3:AR3">
    <cfRule type="expression" dxfId="11" priority="3" stopIfTrue="1">
      <formula>MOD(ROW(),4)&gt;1</formula>
    </cfRule>
    <cfRule type="expression" dxfId="10" priority="4" stopIfTrue="1">
      <formula>MOD(ROW(),4)&lt;2</formula>
    </cfRule>
  </conditionalFormatting>
  <conditionalFormatting sqref="A2:AR2">
    <cfRule type="expression" dxfId="9" priority="1" stopIfTrue="1">
      <formula>MOD(ROW(),4)&gt;1</formula>
    </cfRule>
    <cfRule type="expression" dxfId="8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0C8A-1724-4504-81C2-F40C02D62448}">
  <dimension ref="A1:BL4"/>
  <sheetViews>
    <sheetView topLeftCell="U1" workbookViewId="0">
      <selection activeCell="X24" sqref="X24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ht="15.75" thickBot="1" x14ac:dyDescent="0.3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8"/>
      <c r="B2" s="8"/>
      <c r="C2" s="26" t="s">
        <v>121</v>
      </c>
      <c r="D2" s="16" t="e">
        <f>+SUM(#REF!)</f>
        <v>#REF!</v>
      </c>
      <c r="E2" s="8"/>
      <c r="F2" s="8"/>
      <c r="G2" s="16" t="e">
        <f>+SUM(#REF!)</f>
        <v>#REF!</v>
      </c>
      <c r="H2" s="16" t="e">
        <f>+SUM(#REF!)</f>
        <v>#REF!</v>
      </c>
      <c r="I2" s="21"/>
      <c r="J2" s="16" t="e">
        <f>+SUM(#REF!)</f>
        <v>#REF!</v>
      </c>
      <c r="K2" s="16" t="e">
        <f>+SUM(#REF!)</f>
        <v>#REF!</v>
      </c>
      <c r="L2" s="16" t="e">
        <f>+SUM(#REF!)</f>
        <v>#REF!</v>
      </c>
      <c r="M2" s="31" t="e">
        <f>+SUM(#REF!)</f>
        <v>#REF!</v>
      </c>
      <c r="N2" s="35"/>
      <c r="O2" s="40" t="e">
        <f>+SUM(#REF!)</f>
        <v>#REF!</v>
      </c>
      <c r="P2" s="40" t="e">
        <f>+SUM(#REF!)</f>
        <v>#REF!</v>
      </c>
      <c r="Q2" s="16"/>
      <c r="R2" s="16"/>
      <c r="S2" s="45"/>
      <c r="T2" s="40"/>
      <c r="U2" s="9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64" x14ac:dyDescent="0.25">
      <c r="A3" s="10"/>
      <c r="B3" s="10"/>
      <c r="C3" s="27"/>
      <c r="D3" s="17"/>
      <c r="E3" s="10"/>
      <c r="F3" s="10"/>
      <c r="G3" s="17"/>
      <c r="H3" s="17" t="s">
        <v>122</v>
      </c>
      <c r="I3" s="22" t="e">
        <f>H2/G2*100</f>
        <v>#REF!</v>
      </c>
      <c r="J3" s="17"/>
      <c r="K3" s="17"/>
      <c r="L3" s="17" t="s">
        <v>123</v>
      </c>
      <c r="M3" s="32"/>
      <c r="N3" s="36"/>
      <c r="O3" s="41" t="s">
        <v>123</v>
      </c>
      <c r="P3" s="41"/>
      <c r="Q3" s="17"/>
      <c r="R3" s="17" t="s">
        <v>123</v>
      </c>
      <c r="S3" s="46"/>
      <c r="T3" s="41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64" x14ac:dyDescent="0.25">
      <c r="A4" s="12"/>
      <c r="B4" s="12"/>
      <c r="C4" s="28"/>
      <c r="D4" s="18"/>
      <c r="E4" s="12"/>
      <c r="F4" s="12"/>
      <c r="G4" s="18"/>
      <c r="H4" s="18" t="s">
        <v>124</v>
      </c>
      <c r="I4" s="23" t="e">
        <f>STDEV(#REF!)</f>
        <v>#REF!</v>
      </c>
      <c r="J4" s="18"/>
      <c r="K4" s="18"/>
      <c r="L4" s="18" t="s">
        <v>125</v>
      </c>
      <c r="M4" s="48" t="e">
        <f>K2/M2</f>
        <v>#REF!</v>
      </c>
      <c r="N4" s="37"/>
      <c r="O4" s="42" t="s">
        <v>126</v>
      </c>
      <c r="P4" s="42" t="e">
        <f>K2/O2</f>
        <v>#REF!</v>
      </c>
      <c r="Q4" s="18"/>
      <c r="R4" s="18" t="s">
        <v>127</v>
      </c>
      <c r="S4" s="47" t="e">
        <f>K2/O2/43560</f>
        <v>#REF!</v>
      </c>
      <c r="T4" s="42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F430-EC3C-415B-9C98-816237AF3E41}">
  <dimension ref="A1:BL15"/>
  <sheetViews>
    <sheetView workbookViewId="0">
      <selection activeCell="M10" sqref="K10:M10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2.4257812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62</v>
      </c>
      <c r="B2" t="s">
        <v>63</v>
      </c>
      <c r="C2" s="25">
        <v>45300</v>
      </c>
      <c r="D2" s="15">
        <v>5050000</v>
      </c>
      <c r="E2" t="s">
        <v>46</v>
      </c>
      <c r="F2" t="s">
        <v>47</v>
      </c>
      <c r="G2" s="15">
        <v>5050000</v>
      </c>
      <c r="H2" s="15">
        <v>839500</v>
      </c>
      <c r="I2" s="20">
        <f>H2/G2*100</f>
        <v>16.623762376237625</v>
      </c>
      <c r="J2" s="15">
        <v>4922102</v>
      </c>
      <c r="K2" s="15">
        <f>G2-781202</f>
        <v>4268798</v>
      </c>
      <c r="L2" s="15">
        <v>4140900</v>
      </c>
      <c r="M2" s="30">
        <v>387</v>
      </c>
      <c r="N2" s="34">
        <v>0</v>
      </c>
      <c r="O2" s="39">
        <v>5.33</v>
      </c>
      <c r="P2" s="39">
        <v>2.665</v>
      </c>
      <c r="Q2" s="15">
        <f>K2/M2</f>
        <v>11030.485788113696</v>
      </c>
      <c r="R2" s="15">
        <f>K2/O2</f>
        <v>800900.18761726073</v>
      </c>
      <c r="S2" s="44">
        <f>K2/O2/43560</f>
        <v>18.3861383750519</v>
      </c>
      <c r="T2" s="39">
        <v>387</v>
      </c>
      <c r="U2" s="5" t="s">
        <v>48</v>
      </c>
      <c r="V2" t="s">
        <v>64</v>
      </c>
      <c r="X2" t="s">
        <v>50</v>
      </c>
      <c r="Y2">
        <v>0</v>
      </c>
      <c r="Z2">
        <v>0</v>
      </c>
      <c r="AA2" s="7">
        <v>39719</v>
      </c>
      <c r="AB2" t="s">
        <v>65</v>
      </c>
      <c r="AC2" s="6" t="s">
        <v>61</v>
      </c>
      <c r="AD2" t="s">
        <v>66</v>
      </c>
    </row>
    <row r="3" spans="1:64" x14ac:dyDescent="0.25">
      <c r="A3" t="s">
        <v>102</v>
      </c>
      <c r="B3" t="s">
        <v>103</v>
      </c>
      <c r="C3" s="25">
        <v>44798</v>
      </c>
      <c r="D3" s="15">
        <v>1275000</v>
      </c>
      <c r="E3" t="s">
        <v>46</v>
      </c>
      <c r="F3" t="s">
        <v>47</v>
      </c>
      <c r="G3" s="15">
        <v>1275000</v>
      </c>
      <c r="H3" s="15">
        <v>398600</v>
      </c>
      <c r="I3" s="20">
        <f>H3/G3*100</f>
        <v>31.262745098039211</v>
      </c>
      <c r="J3" s="15">
        <v>1231259</v>
      </c>
      <c r="K3" s="15">
        <f>G3-594342-4200</f>
        <v>676458</v>
      </c>
      <c r="L3" s="15">
        <v>610750</v>
      </c>
      <c r="M3" s="30">
        <v>70</v>
      </c>
      <c r="N3" s="34">
        <v>290</v>
      </c>
      <c r="O3" s="39">
        <v>0.46600000000000003</v>
      </c>
      <c r="P3" s="39">
        <v>0.46600000000000003</v>
      </c>
      <c r="Q3" s="15">
        <f>K3/M3</f>
        <v>9663.6857142857134</v>
      </c>
      <c r="R3" s="15">
        <f>K3/O3</f>
        <v>1451626.6094420601</v>
      </c>
      <c r="S3" s="44">
        <f>K3/O3/43560</f>
        <v>33.324761465612035</v>
      </c>
      <c r="T3" s="39">
        <v>70</v>
      </c>
      <c r="U3" s="5" t="s">
        <v>48</v>
      </c>
      <c r="V3" t="s">
        <v>104</v>
      </c>
      <c r="X3" t="s">
        <v>50</v>
      </c>
      <c r="Y3">
        <v>0</v>
      </c>
      <c r="Z3">
        <v>0</v>
      </c>
      <c r="AA3" s="7">
        <v>39699</v>
      </c>
      <c r="AB3" t="s">
        <v>65</v>
      </c>
      <c r="AC3" s="6" t="s">
        <v>61</v>
      </c>
      <c r="AD3" t="s">
        <v>54</v>
      </c>
    </row>
    <row r="4" spans="1:64" x14ac:dyDescent="0.25">
      <c r="A4" t="s">
        <v>105</v>
      </c>
      <c r="B4" t="s">
        <v>106</v>
      </c>
      <c r="C4" s="25">
        <v>45049</v>
      </c>
      <c r="D4" s="15">
        <v>3400000</v>
      </c>
      <c r="E4" t="s">
        <v>46</v>
      </c>
      <c r="F4" t="s">
        <v>47</v>
      </c>
      <c r="G4" s="15">
        <v>3399000</v>
      </c>
      <c r="H4" s="15">
        <v>1120600</v>
      </c>
      <c r="I4" s="20">
        <f>H4/G4*100</f>
        <v>32.968520152986173</v>
      </c>
      <c r="J4" s="15">
        <v>3168974</v>
      </c>
      <c r="K4" s="15">
        <f>G4-2056174</f>
        <v>1342826</v>
      </c>
      <c r="L4" s="15">
        <v>1112800</v>
      </c>
      <c r="M4" s="30">
        <v>104</v>
      </c>
      <c r="N4" s="34">
        <v>0</v>
      </c>
      <c r="O4" s="39">
        <v>0.47</v>
      </c>
      <c r="P4" s="39">
        <v>0.47</v>
      </c>
      <c r="Q4" s="15">
        <f>K4/M4</f>
        <v>12911.788461538461</v>
      </c>
      <c r="R4" s="15">
        <f>K4/O4</f>
        <v>2857076.5957446811</v>
      </c>
      <c r="S4" s="44">
        <f>K4/O4/43560</f>
        <v>65.589453529492218</v>
      </c>
      <c r="T4" s="39">
        <v>104</v>
      </c>
      <c r="U4" s="5" t="s">
        <v>48</v>
      </c>
      <c r="V4" t="s">
        <v>107</v>
      </c>
      <c r="X4" t="s">
        <v>50</v>
      </c>
      <c r="Y4">
        <v>0</v>
      </c>
      <c r="Z4">
        <v>1</v>
      </c>
      <c r="AA4" s="7">
        <v>39699</v>
      </c>
      <c r="AB4" t="s">
        <v>98</v>
      </c>
      <c r="AC4" s="6" t="s">
        <v>61</v>
      </c>
      <c r="AD4" t="s">
        <v>66</v>
      </c>
    </row>
    <row r="5" spans="1:64" ht="15.75" thickBot="1" x14ac:dyDescent="0.3">
      <c r="A5" t="s">
        <v>108</v>
      </c>
      <c r="B5" t="s">
        <v>109</v>
      </c>
      <c r="C5" s="25">
        <v>44721</v>
      </c>
      <c r="D5" s="15">
        <v>3600000</v>
      </c>
      <c r="E5" t="s">
        <v>110</v>
      </c>
      <c r="F5" t="s">
        <v>47</v>
      </c>
      <c r="G5" s="15">
        <v>3600000</v>
      </c>
      <c r="H5" s="15">
        <v>805400</v>
      </c>
      <c r="I5" s="20">
        <f>H5/G5*100</f>
        <v>22.37222222222222</v>
      </c>
      <c r="J5" s="15">
        <v>3213253</v>
      </c>
      <c r="K5" s="15">
        <f>G5-2143253</f>
        <v>1456747</v>
      </c>
      <c r="L5" s="15">
        <v>1070000</v>
      </c>
      <c r="M5" s="30">
        <v>100</v>
      </c>
      <c r="N5" s="34">
        <v>150</v>
      </c>
      <c r="O5" s="39">
        <v>0.34399999999999997</v>
      </c>
      <c r="P5" s="39">
        <v>0.34399999999999997</v>
      </c>
      <c r="Q5" s="15">
        <f>K5/M5</f>
        <v>14567.47</v>
      </c>
      <c r="R5" s="15">
        <f>K5/O5</f>
        <v>4234729.6511627911</v>
      </c>
      <c r="S5" s="44">
        <f>K5/O5/43560</f>
        <v>97.21601586691439</v>
      </c>
      <c r="T5" s="39">
        <v>100</v>
      </c>
      <c r="U5" s="5" t="s">
        <v>48</v>
      </c>
      <c r="V5" t="s">
        <v>111</v>
      </c>
      <c r="X5" t="s">
        <v>50</v>
      </c>
      <c r="Y5">
        <v>0</v>
      </c>
      <c r="Z5">
        <v>1</v>
      </c>
      <c r="AA5" s="7">
        <v>39699</v>
      </c>
      <c r="AB5" t="s">
        <v>65</v>
      </c>
      <c r="AC5" s="6" t="s">
        <v>61</v>
      </c>
      <c r="AD5" t="s">
        <v>66</v>
      </c>
    </row>
    <row r="6" spans="1:64" ht="15.75" thickTop="1" x14ac:dyDescent="0.25">
      <c r="A6" s="8"/>
      <c r="B6" s="8"/>
      <c r="C6" s="26" t="s">
        <v>121</v>
      </c>
      <c r="D6" s="16">
        <f>+SUM(D2:D5)</f>
        <v>13325000</v>
      </c>
      <c r="E6" s="8"/>
      <c r="F6" s="8"/>
      <c r="G6" s="16">
        <f>+SUM(G2:G5)</f>
        <v>13324000</v>
      </c>
      <c r="H6" s="16">
        <f>+SUM(H2:H5)</f>
        <v>3164100</v>
      </c>
      <c r="I6" s="21"/>
      <c r="J6" s="16">
        <f>+SUM(J2:J5)</f>
        <v>12535588</v>
      </c>
      <c r="K6" s="16">
        <f>+SUM(K2:K5)</f>
        <v>7744829</v>
      </c>
      <c r="L6" s="16">
        <f>+SUM(L2:L5)</f>
        <v>6934450</v>
      </c>
      <c r="M6" s="31">
        <f>+SUM(M2:M5)</f>
        <v>661</v>
      </c>
      <c r="N6" s="35"/>
      <c r="O6" s="40">
        <f>+SUM(O2:O5)</f>
        <v>6.61</v>
      </c>
      <c r="P6" s="40">
        <f>+SUM(P2:P5)</f>
        <v>3.9449999999999998</v>
      </c>
      <c r="Q6" s="16"/>
      <c r="R6" s="16"/>
      <c r="S6" s="45"/>
      <c r="T6" s="40"/>
      <c r="U6" s="9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64" x14ac:dyDescent="0.25">
      <c r="A7" s="10"/>
      <c r="B7" s="10"/>
      <c r="C7" s="27"/>
      <c r="D7" s="17"/>
      <c r="E7" s="10"/>
      <c r="F7" s="10"/>
      <c r="G7" s="17"/>
      <c r="H7" s="17" t="s">
        <v>122</v>
      </c>
      <c r="I7" s="22">
        <f>H6/G6*100</f>
        <v>23.747373161212849</v>
      </c>
      <c r="J7" s="17"/>
      <c r="K7" s="17"/>
      <c r="L7" s="17" t="s">
        <v>123</v>
      </c>
      <c r="M7" s="32"/>
      <c r="N7" s="36"/>
      <c r="O7" s="41" t="s">
        <v>123</v>
      </c>
      <c r="P7" s="41"/>
      <c r="Q7" s="17"/>
      <c r="R7" s="17" t="s">
        <v>123</v>
      </c>
      <c r="S7" s="46"/>
      <c r="T7" s="41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8"/>
      <c r="D8" s="18"/>
      <c r="E8" s="12"/>
      <c r="F8" s="12"/>
      <c r="G8" s="18"/>
      <c r="H8" s="18" t="s">
        <v>124</v>
      </c>
      <c r="I8" s="23">
        <f>STDEV(I2:I5)</f>
        <v>7.6850954661805213</v>
      </c>
      <c r="J8" s="18"/>
      <c r="K8" s="18"/>
      <c r="L8" s="18" t="s">
        <v>125</v>
      </c>
      <c r="M8" s="48">
        <f>K6/M6</f>
        <v>11716.836611195158</v>
      </c>
      <c r="N8" s="37"/>
      <c r="O8" s="42" t="s">
        <v>126</v>
      </c>
      <c r="P8" s="42">
        <f>K6/O6</f>
        <v>1171683.6611195158</v>
      </c>
      <c r="Q8" s="18"/>
      <c r="R8" s="18" t="s">
        <v>127</v>
      </c>
      <c r="S8" s="47">
        <f>K6/O6/43560</f>
        <v>26.898155673083465</v>
      </c>
      <c r="T8" s="4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10" spans="1:64" x14ac:dyDescent="0.25">
      <c r="K10" s="49"/>
      <c r="L10" s="50" t="s">
        <v>128</v>
      </c>
      <c r="M10" s="51">
        <v>11700</v>
      </c>
    </row>
    <row r="15" spans="1:64" x14ac:dyDescent="0.25">
      <c r="A15" t="s">
        <v>99</v>
      </c>
      <c r="B15" t="s">
        <v>100</v>
      </c>
      <c r="C15" s="25">
        <v>45093</v>
      </c>
      <c r="D15" s="15">
        <v>2750000</v>
      </c>
      <c r="E15" t="s">
        <v>46</v>
      </c>
      <c r="F15" t="s">
        <v>47</v>
      </c>
      <c r="G15" s="15">
        <v>2750000</v>
      </c>
      <c r="H15" s="15">
        <v>1061800</v>
      </c>
      <c r="I15" s="20">
        <f>H15/G15*100</f>
        <v>38.61090909090909</v>
      </c>
      <c r="J15" s="15">
        <v>3225781</v>
      </c>
      <c r="K15" s="15">
        <f>G15-2494490</f>
        <v>255510</v>
      </c>
      <c r="L15" s="15">
        <v>731291</v>
      </c>
      <c r="M15" s="30">
        <v>66</v>
      </c>
      <c r="N15" s="34">
        <v>0</v>
      </c>
      <c r="O15" s="39">
        <v>0.39</v>
      </c>
      <c r="P15" s="39">
        <v>0.39</v>
      </c>
      <c r="Q15" s="15">
        <f>K15/M15</f>
        <v>3871.3636363636365</v>
      </c>
      <c r="R15" s="15">
        <f>K15/O15</f>
        <v>655153.84615384613</v>
      </c>
      <c r="S15" s="44">
        <f>K15/O15/43560</f>
        <v>15.040262767535495</v>
      </c>
      <c r="T15" s="39">
        <v>66</v>
      </c>
      <c r="U15" s="5" t="s">
        <v>48</v>
      </c>
      <c r="V15" t="s">
        <v>101</v>
      </c>
      <c r="X15" t="s">
        <v>50</v>
      </c>
      <c r="Y15">
        <v>1</v>
      </c>
      <c r="Z15">
        <v>1</v>
      </c>
      <c r="AA15" s="7">
        <v>43405</v>
      </c>
      <c r="AB15" t="s">
        <v>65</v>
      </c>
      <c r="AC15" s="6" t="s">
        <v>61</v>
      </c>
      <c r="AD15" t="s">
        <v>66</v>
      </c>
    </row>
  </sheetData>
  <conditionalFormatting sqref="A2:AR2 A4:AR5 A15:AR15">
    <cfRule type="expression" dxfId="7" priority="3" stopIfTrue="1">
      <formula>MOD(ROW(),4)&gt;1</formula>
    </cfRule>
    <cfRule type="expression" dxfId="6" priority="4" stopIfTrue="1">
      <formula>MOD(ROW(),4)&lt;2</formula>
    </cfRule>
  </conditionalFormatting>
  <conditionalFormatting sqref="A3:AR3">
    <cfRule type="expression" dxfId="5" priority="1" stopIfTrue="1">
      <formula>MOD(ROW(),4)&gt;1</formula>
    </cfRule>
    <cfRule type="expression" dxfId="4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946F-8186-4676-BF02-A171075D0F8F}">
  <dimension ref="A1:BL9"/>
  <sheetViews>
    <sheetView tabSelected="1" workbookViewId="0">
      <selection activeCell="L23" sqref="L23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25">
        <v>45336</v>
      </c>
      <c r="D2" s="15">
        <v>1000000</v>
      </c>
      <c r="E2" t="s">
        <v>46</v>
      </c>
      <c r="F2" t="s">
        <v>47</v>
      </c>
      <c r="G2" s="15">
        <v>1000000</v>
      </c>
      <c r="H2" s="15">
        <v>559100</v>
      </c>
      <c r="I2" s="20">
        <f>H2/G2*100</f>
        <v>55.910000000000004</v>
      </c>
      <c r="J2" s="15">
        <v>1308750</v>
      </c>
      <c r="K2" s="15">
        <f>G2-0</f>
        <v>1000000</v>
      </c>
      <c r="L2" s="15">
        <v>1308750</v>
      </c>
      <c r="M2" s="30">
        <v>150</v>
      </c>
      <c r="N2" s="34">
        <v>0</v>
      </c>
      <c r="O2" s="39">
        <v>2.2410000000000001</v>
      </c>
      <c r="P2" s="39">
        <v>2.2410000000000001</v>
      </c>
      <c r="Q2" s="15">
        <f>K2/M2</f>
        <v>6666.666666666667</v>
      </c>
      <c r="R2" s="15">
        <f>K2/O2</f>
        <v>446229.36189201247</v>
      </c>
      <c r="S2" s="44">
        <f>K2/O2/43560</f>
        <v>10.24401657236025</v>
      </c>
      <c r="T2" s="39">
        <v>150</v>
      </c>
      <c r="U2" s="5" t="s">
        <v>48</v>
      </c>
      <c r="V2" t="s">
        <v>49</v>
      </c>
      <c r="X2" t="s">
        <v>50</v>
      </c>
      <c r="Y2">
        <v>0</v>
      </c>
      <c r="Z2">
        <v>1</v>
      </c>
      <c r="AA2" t="s">
        <v>51</v>
      </c>
      <c r="AB2" t="s">
        <v>52</v>
      </c>
      <c r="AC2" s="6" t="s">
        <v>53</v>
      </c>
      <c r="AD2" t="s">
        <v>54</v>
      </c>
      <c r="AL2" s="2"/>
      <c r="BC2" s="2"/>
      <c r="BE2" s="2"/>
    </row>
    <row r="3" spans="1:64" x14ac:dyDescent="0.25">
      <c r="A3" t="s">
        <v>55</v>
      </c>
      <c r="B3" t="s">
        <v>56</v>
      </c>
      <c r="C3" s="25">
        <v>44679</v>
      </c>
      <c r="D3" s="15">
        <v>3000000</v>
      </c>
      <c r="E3" t="s">
        <v>46</v>
      </c>
      <c r="F3" t="s">
        <v>47</v>
      </c>
      <c r="G3" s="15">
        <v>3000000</v>
      </c>
      <c r="H3" s="15">
        <v>1057500</v>
      </c>
      <c r="I3" s="20">
        <f>H3/G3*100</f>
        <v>35.25</v>
      </c>
      <c r="J3" s="15">
        <v>2050288</v>
      </c>
      <c r="K3" s="15">
        <f>G3-0</f>
        <v>3000000</v>
      </c>
      <c r="L3" s="15">
        <v>2050288</v>
      </c>
      <c r="M3" s="30">
        <v>234.99</v>
      </c>
      <c r="N3" s="34">
        <v>0</v>
      </c>
      <c r="O3" s="39">
        <v>1.9550000000000001</v>
      </c>
      <c r="P3" s="39">
        <v>1.9550000000000001</v>
      </c>
      <c r="Q3" s="15">
        <f>K3/M3</f>
        <v>12766.500702157538</v>
      </c>
      <c r="R3" s="15">
        <f>K3/O3</f>
        <v>1534526.8542199489</v>
      </c>
      <c r="S3" s="44">
        <f>K3/O3/43560</f>
        <v>35.227889215333995</v>
      </c>
      <c r="T3" s="39">
        <v>234.99</v>
      </c>
      <c r="U3" s="5" t="s">
        <v>48</v>
      </c>
      <c r="V3" t="s">
        <v>57</v>
      </c>
      <c r="X3" t="s">
        <v>50</v>
      </c>
      <c r="Y3">
        <v>0</v>
      </c>
      <c r="Z3">
        <v>1</v>
      </c>
      <c r="AA3" t="s">
        <v>51</v>
      </c>
      <c r="AB3" t="s">
        <v>52</v>
      </c>
      <c r="AC3" s="6" t="s">
        <v>53</v>
      </c>
      <c r="AD3" t="s">
        <v>54</v>
      </c>
    </row>
    <row r="4" spans="1:64" ht="15.75" thickBot="1" x14ac:dyDescent="0.3">
      <c r="A4" t="s">
        <v>58</v>
      </c>
      <c r="B4" t="s">
        <v>59</v>
      </c>
      <c r="C4" s="25">
        <v>44679</v>
      </c>
      <c r="D4" s="15">
        <v>1325000</v>
      </c>
      <c r="E4" t="s">
        <v>46</v>
      </c>
      <c r="F4" t="s">
        <v>47</v>
      </c>
      <c r="G4" s="15">
        <v>1325000</v>
      </c>
      <c r="H4" s="15">
        <v>793400</v>
      </c>
      <c r="I4" s="20">
        <f>H4/G4*100</f>
        <v>59.879245283018868</v>
      </c>
      <c r="J4" s="15">
        <v>1969166</v>
      </c>
      <c r="K4" s="15">
        <f>G4-430861</f>
        <v>894139</v>
      </c>
      <c r="L4" s="15">
        <v>1538305</v>
      </c>
      <c r="M4" s="30">
        <v>176.31</v>
      </c>
      <c r="N4" s="34">
        <v>0</v>
      </c>
      <c r="O4" s="39">
        <v>2.8889999999999998</v>
      </c>
      <c r="P4" s="39">
        <v>2.8889999999999998</v>
      </c>
      <c r="Q4" s="15">
        <f>K4/M4</f>
        <v>5071.4026430718623</v>
      </c>
      <c r="R4" s="15">
        <f>K4/O4</f>
        <v>309497.75008653518</v>
      </c>
      <c r="S4" s="44">
        <f>K4/O4/43560</f>
        <v>7.105090681509072</v>
      </c>
      <c r="T4" s="39">
        <v>176.31</v>
      </c>
      <c r="U4" s="5" t="s">
        <v>48</v>
      </c>
      <c r="V4" t="s">
        <v>60</v>
      </c>
      <c r="X4" t="s">
        <v>50</v>
      </c>
      <c r="Y4">
        <v>0</v>
      </c>
      <c r="Z4">
        <v>1</v>
      </c>
      <c r="AA4" t="s">
        <v>51</v>
      </c>
      <c r="AB4" t="s">
        <v>52</v>
      </c>
      <c r="AC4" s="6" t="s">
        <v>61</v>
      </c>
      <c r="AD4" t="s">
        <v>54</v>
      </c>
    </row>
    <row r="5" spans="1:64" ht="15.75" thickTop="1" x14ac:dyDescent="0.25">
      <c r="A5" s="8"/>
      <c r="B5" s="8"/>
      <c r="C5" s="26" t="s">
        <v>121</v>
      </c>
      <c r="D5" s="16">
        <f>+SUM(D2:D4)</f>
        <v>5325000</v>
      </c>
      <c r="E5" s="8"/>
      <c r="F5" s="8"/>
      <c r="G5" s="16">
        <f>+SUM(G2:G4)</f>
        <v>5325000</v>
      </c>
      <c r="H5" s="16">
        <f>+SUM(H2:H4)</f>
        <v>2410000</v>
      </c>
      <c r="I5" s="21"/>
      <c r="J5" s="16">
        <f>+SUM(J2:J4)</f>
        <v>5328204</v>
      </c>
      <c r="K5" s="16">
        <f>+SUM(K2:K4)</f>
        <v>4894139</v>
      </c>
      <c r="L5" s="16">
        <f>+SUM(L2:L4)</f>
        <v>4897343</v>
      </c>
      <c r="M5" s="31">
        <f>+SUM(M2:M4)</f>
        <v>561.29999999999995</v>
      </c>
      <c r="N5" s="35"/>
      <c r="O5" s="40">
        <f>+SUM(O2:O4)</f>
        <v>7.0849999999999991</v>
      </c>
      <c r="P5" s="40">
        <f>+SUM(P2:P4)</f>
        <v>7.0849999999999991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122</v>
      </c>
      <c r="I6" s="22">
        <f>H5/G5*100</f>
        <v>45.258215962441319</v>
      </c>
      <c r="J6" s="17"/>
      <c r="K6" s="17"/>
      <c r="L6" s="17" t="s">
        <v>123</v>
      </c>
      <c r="M6" s="32"/>
      <c r="N6" s="36"/>
      <c r="O6" s="41" t="s">
        <v>123</v>
      </c>
      <c r="P6" s="41"/>
      <c r="Q6" s="17"/>
      <c r="R6" s="17" t="s">
        <v>123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124</v>
      </c>
      <c r="I7" s="23">
        <f>STDEV(I2:I4)</f>
        <v>13.223654508291066</v>
      </c>
      <c r="J7" s="18"/>
      <c r="K7" s="18"/>
      <c r="L7" s="18" t="s">
        <v>125</v>
      </c>
      <c r="M7" s="48">
        <f>K5/M5</f>
        <v>8719.2927133440244</v>
      </c>
      <c r="N7" s="37"/>
      <c r="O7" s="42" t="s">
        <v>126</v>
      </c>
      <c r="P7" s="42">
        <f>K5/O5</f>
        <v>690774.73535638687</v>
      </c>
      <c r="Q7" s="18"/>
      <c r="R7" s="18" t="s">
        <v>127</v>
      </c>
      <c r="S7" s="47">
        <f>K5/O5/43560</f>
        <v>15.858005862176007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x14ac:dyDescent="0.25">
      <c r="K9" s="49"/>
      <c r="L9" s="50" t="s">
        <v>128</v>
      </c>
      <c r="M9" s="51">
        <v>8725</v>
      </c>
    </row>
  </sheetData>
  <conditionalFormatting sqref="A2:AR4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CA7B-91D0-4B20-A029-87BB7B98B6CF}">
  <dimension ref="A1:BL23"/>
  <sheetViews>
    <sheetView workbookViewId="0">
      <selection activeCell="C25" sqref="C25"/>
    </sheetView>
  </sheetViews>
  <sheetFormatPr defaultRowHeight="15" x14ac:dyDescent="0.25"/>
  <cols>
    <col min="1" max="1" width="14.28515625" bestFit="1" customWidth="1"/>
    <col min="2" max="2" width="25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30.14062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855468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38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5.71093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67</v>
      </c>
      <c r="B2" t="s">
        <v>68</v>
      </c>
      <c r="C2" s="25">
        <v>44666</v>
      </c>
      <c r="D2" s="15">
        <v>1350000</v>
      </c>
      <c r="E2" t="s">
        <v>46</v>
      </c>
      <c r="F2" t="s">
        <v>47</v>
      </c>
      <c r="G2" s="15">
        <v>1350000</v>
      </c>
      <c r="H2" s="15">
        <v>839400</v>
      </c>
      <c r="I2" s="20">
        <f>H2/G2*100</f>
        <v>62.177777777777777</v>
      </c>
      <c r="J2" s="15">
        <v>1327930</v>
      </c>
      <c r="K2" s="15">
        <f>G2-0</f>
        <v>1350000</v>
      </c>
      <c r="L2" s="15">
        <v>1327930</v>
      </c>
      <c r="M2" s="30">
        <v>1369</v>
      </c>
      <c r="N2" s="34">
        <v>0</v>
      </c>
      <c r="O2" s="39">
        <v>45.85</v>
      </c>
      <c r="P2" s="39">
        <v>42.84</v>
      </c>
      <c r="Q2" s="15">
        <f>K2/M2</f>
        <v>986.12125639152669</v>
      </c>
      <c r="R2" s="15">
        <f>K2/O2</f>
        <v>29443.838604143948</v>
      </c>
      <c r="S2" s="44">
        <f>K2/O2/43560</f>
        <v>0.67593752534765716</v>
      </c>
      <c r="T2" s="39">
        <v>1369</v>
      </c>
      <c r="U2" s="5" t="s">
        <v>69</v>
      </c>
      <c r="V2" t="s">
        <v>70</v>
      </c>
      <c r="X2" t="s">
        <v>50</v>
      </c>
      <c r="Y2">
        <v>0</v>
      </c>
      <c r="Z2">
        <v>1</v>
      </c>
      <c r="AA2" s="7">
        <v>39622</v>
      </c>
      <c r="AB2" t="s">
        <v>65</v>
      </c>
      <c r="AC2" s="6" t="s">
        <v>53</v>
      </c>
      <c r="AD2" t="s">
        <v>71</v>
      </c>
    </row>
    <row r="3" spans="1:64" x14ac:dyDescent="0.25">
      <c r="A3" t="s">
        <v>76</v>
      </c>
      <c r="B3" t="s">
        <v>77</v>
      </c>
      <c r="C3" s="25">
        <v>45114</v>
      </c>
      <c r="D3" s="15">
        <v>170000</v>
      </c>
      <c r="E3" t="s">
        <v>46</v>
      </c>
      <c r="F3" t="s">
        <v>47</v>
      </c>
      <c r="G3" s="15">
        <v>170000</v>
      </c>
      <c r="H3" s="15">
        <v>104400</v>
      </c>
      <c r="I3" s="20">
        <f>H3/G3*100</f>
        <v>61.411764705882355</v>
      </c>
      <c r="J3" s="15">
        <v>194669</v>
      </c>
      <c r="K3" s="15">
        <f>G3-0</f>
        <v>170000</v>
      </c>
      <c r="L3" s="15">
        <v>194669</v>
      </c>
      <c r="M3" s="30">
        <v>200.69</v>
      </c>
      <c r="N3" s="34">
        <v>0</v>
      </c>
      <c r="O3" s="39">
        <v>0.73</v>
      </c>
      <c r="P3" s="39">
        <v>0.73</v>
      </c>
      <c r="Q3" s="15">
        <f>K3/M3</f>
        <v>847.07758234092387</v>
      </c>
      <c r="R3" s="15">
        <f>K3/O3</f>
        <v>232876.71232876714</v>
      </c>
      <c r="S3" s="44">
        <f>K3/O3/43560</f>
        <v>5.3461136898247741</v>
      </c>
      <c r="T3" s="39">
        <v>200.69</v>
      </c>
      <c r="U3" s="5" t="s">
        <v>48</v>
      </c>
      <c r="V3" t="s">
        <v>78</v>
      </c>
      <c r="X3" t="s">
        <v>50</v>
      </c>
      <c r="Y3">
        <v>0</v>
      </c>
      <c r="Z3">
        <v>1</v>
      </c>
      <c r="AA3" t="s">
        <v>51</v>
      </c>
      <c r="AB3" t="s">
        <v>52</v>
      </c>
      <c r="AC3" s="6" t="s">
        <v>53</v>
      </c>
      <c r="AD3" t="s">
        <v>71</v>
      </c>
    </row>
    <row r="4" spans="1:64" x14ac:dyDescent="0.25">
      <c r="A4" t="s">
        <v>86</v>
      </c>
      <c r="B4" t="s">
        <v>87</v>
      </c>
      <c r="C4" s="25">
        <v>45230</v>
      </c>
      <c r="D4" s="15">
        <v>865000</v>
      </c>
      <c r="E4" t="s">
        <v>46</v>
      </c>
      <c r="F4" t="s">
        <v>47</v>
      </c>
      <c r="G4" s="15">
        <v>865000</v>
      </c>
      <c r="H4" s="15">
        <v>37700</v>
      </c>
      <c r="I4" s="20">
        <f>H4/G4*100</f>
        <v>4.3583815028901736</v>
      </c>
      <c r="J4" s="15">
        <v>916581</v>
      </c>
      <c r="K4" s="15">
        <f>G4-767356</f>
        <v>97644</v>
      </c>
      <c r="L4" s="15">
        <v>149225</v>
      </c>
      <c r="M4" s="30">
        <v>153.84</v>
      </c>
      <c r="N4" s="34">
        <v>0</v>
      </c>
      <c r="O4" s="39">
        <v>1.0900000000000001</v>
      </c>
      <c r="P4" s="39">
        <v>1.0900000000000001</v>
      </c>
      <c r="Q4" s="15">
        <f>K4/M4</f>
        <v>634.71138845553821</v>
      </c>
      <c r="R4" s="15">
        <f>K4/O4</f>
        <v>89581.65137614678</v>
      </c>
      <c r="S4" s="44">
        <f>K4/O4/43560</f>
        <v>2.0565117395809636</v>
      </c>
      <c r="T4" s="39">
        <v>153.84</v>
      </c>
      <c r="U4" s="5" t="s">
        <v>48</v>
      </c>
      <c r="V4" t="s">
        <v>88</v>
      </c>
      <c r="X4" t="s">
        <v>50</v>
      </c>
      <c r="Y4">
        <v>0</v>
      </c>
      <c r="Z4">
        <v>0</v>
      </c>
      <c r="AA4" t="s">
        <v>51</v>
      </c>
      <c r="AB4" t="s">
        <v>52</v>
      </c>
      <c r="AC4" s="6" t="s">
        <v>61</v>
      </c>
      <c r="AD4" t="s">
        <v>71</v>
      </c>
    </row>
    <row r="5" spans="1:64" x14ac:dyDescent="0.25">
      <c r="A5" t="s">
        <v>89</v>
      </c>
      <c r="B5" t="s">
        <v>90</v>
      </c>
      <c r="C5" s="25">
        <v>45106</v>
      </c>
      <c r="D5" s="15">
        <v>532500</v>
      </c>
      <c r="E5" t="s">
        <v>46</v>
      </c>
      <c r="F5" t="s">
        <v>47</v>
      </c>
      <c r="G5" s="15">
        <v>532500</v>
      </c>
      <c r="H5" s="15">
        <v>125000</v>
      </c>
      <c r="I5" s="20">
        <f>H5/G5*100</f>
        <v>23.474178403755868</v>
      </c>
      <c r="J5" s="15">
        <v>361032</v>
      </c>
      <c r="K5" s="15">
        <f>G5-264032</f>
        <v>268468</v>
      </c>
      <c r="L5" s="15">
        <v>97000</v>
      </c>
      <c r="M5" s="30">
        <v>100</v>
      </c>
      <c r="N5" s="34">
        <v>200</v>
      </c>
      <c r="O5" s="39">
        <v>0.45900000000000002</v>
      </c>
      <c r="P5" s="39">
        <v>0.45900000000000002</v>
      </c>
      <c r="Q5" s="15">
        <f>K5/M5</f>
        <v>2684.68</v>
      </c>
      <c r="R5" s="15">
        <f>K5/O5</f>
        <v>584897.60348583874</v>
      </c>
      <c r="S5" s="44">
        <f>K5/O5/43560</f>
        <v>13.427401365606951</v>
      </c>
      <c r="T5" s="39">
        <v>100</v>
      </c>
      <c r="U5" s="5" t="s">
        <v>48</v>
      </c>
      <c r="V5" t="s">
        <v>91</v>
      </c>
      <c r="X5" t="s">
        <v>50</v>
      </c>
      <c r="Y5">
        <v>0</v>
      </c>
      <c r="Z5">
        <v>1</v>
      </c>
      <c r="AA5" s="7">
        <v>39601</v>
      </c>
      <c r="AB5" t="s">
        <v>65</v>
      </c>
      <c r="AC5" s="6" t="s">
        <v>61</v>
      </c>
      <c r="AD5" t="s">
        <v>71</v>
      </c>
    </row>
    <row r="6" spans="1:64" x14ac:dyDescent="0.25">
      <c r="A6" t="s">
        <v>95</v>
      </c>
      <c r="B6" t="s">
        <v>96</v>
      </c>
      <c r="C6" s="25">
        <v>45021</v>
      </c>
      <c r="D6" s="15">
        <v>575000</v>
      </c>
      <c r="E6" t="s">
        <v>46</v>
      </c>
      <c r="F6" t="s">
        <v>47</v>
      </c>
      <c r="G6" s="15">
        <v>575000</v>
      </c>
      <c r="H6" s="15">
        <v>195400</v>
      </c>
      <c r="I6" s="20">
        <f>H6/G6*100</f>
        <v>33.982608695652175</v>
      </c>
      <c r="J6" s="15">
        <v>595271</v>
      </c>
      <c r="K6" s="15">
        <f>G6-498271</f>
        <v>76729</v>
      </c>
      <c r="L6" s="15">
        <v>97000</v>
      </c>
      <c r="M6" s="30">
        <v>100</v>
      </c>
      <c r="N6" s="34">
        <v>200</v>
      </c>
      <c r="O6" s="39">
        <v>0.45900000000000002</v>
      </c>
      <c r="P6" s="39">
        <v>0.45900000000000002</v>
      </c>
      <c r="Q6" s="15">
        <f>K6/M6</f>
        <v>767.29</v>
      </c>
      <c r="R6" s="15">
        <f>K6/O6</f>
        <v>167165.57734204791</v>
      </c>
      <c r="S6" s="44">
        <f>K6/O6/43560</f>
        <v>3.8375936028936617</v>
      </c>
      <c r="T6" s="39">
        <v>100</v>
      </c>
      <c r="U6" s="5" t="s">
        <v>48</v>
      </c>
      <c r="V6" t="s">
        <v>97</v>
      </c>
      <c r="X6" t="s">
        <v>50</v>
      </c>
      <c r="Y6">
        <v>0</v>
      </c>
      <c r="Z6">
        <v>1</v>
      </c>
      <c r="AA6" s="7">
        <v>39608</v>
      </c>
      <c r="AB6" t="s">
        <v>98</v>
      </c>
      <c r="AC6" s="6" t="s">
        <v>61</v>
      </c>
      <c r="AD6" t="s">
        <v>71</v>
      </c>
    </row>
    <row r="7" spans="1:64" x14ac:dyDescent="0.25">
      <c r="A7" t="s">
        <v>72</v>
      </c>
      <c r="B7" t="s">
        <v>73</v>
      </c>
      <c r="C7" s="25">
        <v>45212</v>
      </c>
      <c r="D7" s="15">
        <v>1146000</v>
      </c>
      <c r="E7" t="s">
        <v>46</v>
      </c>
      <c r="F7" t="s">
        <v>47</v>
      </c>
      <c r="G7" s="15">
        <v>1146000</v>
      </c>
      <c r="H7" s="15">
        <v>490100</v>
      </c>
      <c r="I7" s="20">
        <f>H7/G7*100</f>
        <v>42.766143106457243</v>
      </c>
      <c r="J7" s="15">
        <v>1378249</v>
      </c>
      <c r="K7" s="15">
        <f>G7-883258</f>
        <v>262742</v>
      </c>
      <c r="L7" s="15">
        <v>494991</v>
      </c>
      <c r="M7" s="30">
        <v>183.33</v>
      </c>
      <c r="N7" s="34">
        <v>135</v>
      </c>
      <c r="O7" s="39">
        <v>0.56799999999999995</v>
      </c>
      <c r="P7" s="39">
        <v>0.56799999999999995</v>
      </c>
      <c r="Q7" s="15">
        <f>K7/M7</f>
        <v>1433.1642393498062</v>
      </c>
      <c r="R7" s="15">
        <f>K7/O7</f>
        <v>462573.94366197189</v>
      </c>
      <c r="S7" s="44">
        <f>K7/O7/43560</f>
        <v>10.619236539531036</v>
      </c>
      <c r="T7" s="39">
        <v>183.33</v>
      </c>
      <c r="U7" s="5" t="s">
        <v>48</v>
      </c>
      <c r="V7" t="s">
        <v>74</v>
      </c>
      <c r="X7" t="s">
        <v>50</v>
      </c>
      <c r="Y7">
        <v>0</v>
      </c>
      <c r="Z7">
        <v>0</v>
      </c>
      <c r="AA7" t="s">
        <v>51</v>
      </c>
      <c r="AB7" t="s">
        <v>65</v>
      </c>
      <c r="AC7" s="6" t="s">
        <v>61</v>
      </c>
      <c r="AD7" t="s">
        <v>75</v>
      </c>
    </row>
    <row r="8" spans="1:64" x14ac:dyDescent="0.25">
      <c r="A8" t="s">
        <v>83</v>
      </c>
      <c r="B8" t="s">
        <v>84</v>
      </c>
      <c r="C8" s="25">
        <v>44771</v>
      </c>
      <c r="D8" s="15">
        <v>540000</v>
      </c>
      <c r="E8" t="s">
        <v>46</v>
      </c>
      <c r="F8" t="s">
        <v>47</v>
      </c>
      <c r="G8" s="15">
        <v>540000</v>
      </c>
      <c r="H8" s="15">
        <v>211300</v>
      </c>
      <c r="I8" s="20">
        <f>H8/G8*100</f>
        <v>39.129629629629633</v>
      </c>
      <c r="J8" s="15">
        <v>794228</v>
      </c>
      <c r="K8" s="15">
        <f>G8-478895</f>
        <v>61105</v>
      </c>
      <c r="L8" s="15">
        <v>315333</v>
      </c>
      <c r="M8" s="30">
        <v>116.79</v>
      </c>
      <c r="N8" s="34">
        <v>0</v>
      </c>
      <c r="O8" s="39">
        <v>0.67</v>
      </c>
      <c r="P8" s="39">
        <v>0.67</v>
      </c>
      <c r="Q8" s="15">
        <f>K8/M8</f>
        <v>523.20404144190422</v>
      </c>
      <c r="R8" s="15">
        <f>K8/O8</f>
        <v>91201.492537313432</v>
      </c>
      <c r="S8" s="44">
        <f>K8/O8/43560</f>
        <v>2.0936981757877282</v>
      </c>
      <c r="T8" s="39">
        <v>116.79</v>
      </c>
      <c r="U8" s="5" t="s">
        <v>48</v>
      </c>
      <c r="V8" t="s">
        <v>85</v>
      </c>
      <c r="X8" t="s">
        <v>50</v>
      </c>
      <c r="Y8">
        <v>0</v>
      </c>
      <c r="Z8">
        <v>0</v>
      </c>
      <c r="AA8" t="s">
        <v>51</v>
      </c>
      <c r="AB8" t="s">
        <v>65</v>
      </c>
      <c r="AC8" s="6" t="s">
        <v>61</v>
      </c>
      <c r="AD8" t="s">
        <v>75</v>
      </c>
    </row>
    <row r="9" spans="1:64" x14ac:dyDescent="0.25">
      <c r="A9" t="s">
        <v>112</v>
      </c>
      <c r="B9" t="s">
        <v>113</v>
      </c>
      <c r="C9" s="25">
        <v>45184</v>
      </c>
      <c r="D9" s="15">
        <v>1750000</v>
      </c>
      <c r="E9" t="s">
        <v>46</v>
      </c>
      <c r="F9" t="s">
        <v>47</v>
      </c>
      <c r="G9" s="15">
        <v>1750000</v>
      </c>
      <c r="H9" s="15">
        <v>296400</v>
      </c>
      <c r="I9" s="20">
        <f>H9/G9*100</f>
        <v>16.937142857142856</v>
      </c>
      <c r="J9" s="15">
        <v>951783</v>
      </c>
      <c r="K9" s="15">
        <f>G9-773583</f>
        <v>976417</v>
      </c>
      <c r="L9" s="15">
        <v>178200</v>
      </c>
      <c r="M9" s="30">
        <v>66</v>
      </c>
      <c r="N9" s="34">
        <v>120</v>
      </c>
      <c r="O9" s="39">
        <v>0.182</v>
      </c>
      <c r="P9" s="39">
        <v>0.182</v>
      </c>
      <c r="Q9" s="15">
        <f>K9/M9</f>
        <v>14794.19696969697</v>
      </c>
      <c r="R9" s="15">
        <f>K9/O9</f>
        <v>5364928.5714285718</v>
      </c>
      <c r="S9" s="44">
        <f>K9/O9/43560</f>
        <v>123.16181293454022</v>
      </c>
      <c r="T9" s="39">
        <v>66</v>
      </c>
      <c r="U9" s="5" t="s">
        <v>114</v>
      </c>
      <c r="V9" t="s">
        <v>115</v>
      </c>
      <c r="X9" t="s">
        <v>50</v>
      </c>
      <c r="Y9">
        <v>0</v>
      </c>
      <c r="Z9">
        <v>1</v>
      </c>
      <c r="AA9" s="7">
        <v>45190</v>
      </c>
      <c r="AB9" t="s">
        <v>65</v>
      </c>
      <c r="AC9" s="6" t="s">
        <v>61</v>
      </c>
      <c r="AD9" t="s">
        <v>75</v>
      </c>
    </row>
    <row r="10" spans="1:64" x14ac:dyDescent="0.25">
      <c r="A10" t="s">
        <v>116</v>
      </c>
      <c r="B10" t="s">
        <v>117</v>
      </c>
      <c r="C10" s="25">
        <v>44725</v>
      </c>
      <c r="D10" s="15">
        <v>629900</v>
      </c>
      <c r="E10" t="s">
        <v>46</v>
      </c>
      <c r="F10" t="s">
        <v>118</v>
      </c>
      <c r="G10" s="15">
        <v>629900</v>
      </c>
      <c r="H10" s="15">
        <v>178500</v>
      </c>
      <c r="I10" s="20">
        <f>H10/G10*100</f>
        <v>28.337831401809808</v>
      </c>
      <c r="J10" s="15">
        <v>648000</v>
      </c>
      <c r="K10" s="15">
        <f>G10-0</f>
        <v>629900</v>
      </c>
      <c r="L10" s="15">
        <v>486000</v>
      </c>
      <c r="M10" s="30">
        <v>180</v>
      </c>
      <c r="N10" s="34">
        <v>0</v>
      </c>
      <c r="O10" s="39">
        <v>0.49</v>
      </c>
      <c r="P10" s="39">
        <v>0.33</v>
      </c>
      <c r="Q10" s="15">
        <f>K10/M10</f>
        <v>3499.4444444444443</v>
      </c>
      <c r="R10" s="15">
        <f>K10/O10</f>
        <v>1285510.2040816327</v>
      </c>
      <c r="S10" s="44">
        <f>K10/O10/43560</f>
        <v>29.511253537227564</v>
      </c>
      <c r="T10" s="39">
        <v>180</v>
      </c>
      <c r="U10" s="5" t="s">
        <v>114</v>
      </c>
      <c r="V10" t="s">
        <v>119</v>
      </c>
      <c r="W10" t="s">
        <v>120</v>
      </c>
      <c r="X10" t="s">
        <v>50</v>
      </c>
      <c r="Y10">
        <v>0</v>
      </c>
      <c r="Z10">
        <v>0</v>
      </c>
      <c r="AA10" s="7">
        <v>44936</v>
      </c>
      <c r="AB10" t="s">
        <v>65</v>
      </c>
      <c r="AC10" s="6" t="s">
        <v>53</v>
      </c>
      <c r="AD10" t="s">
        <v>75</v>
      </c>
      <c r="AE10" t="s">
        <v>75</v>
      </c>
    </row>
    <row r="11" spans="1:64" x14ac:dyDescent="0.25">
      <c r="A11" t="s">
        <v>62</v>
      </c>
      <c r="B11" t="s">
        <v>63</v>
      </c>
      <c r="C11" s="25">
        <v>45300</v>
      </c>
      <c r="D11" s="15">
        <v>5050000</v>
      </c>
      <c r="E11" t="s">
        <v>46</v>
      </c>
      <c r="F11" t="s">
        <v>47</v>
      </c>
      <c r="G11" s="15">
        <v>5050000</v>
      </c>
      <c r="H11" s="15">
        <v>839500</v>
      </c>
      <c r="I11" s="20">
        <f>H11/G11*100</f>
        <v>16.623762376237625</v>
      </c>
      <c r="J11" s="15">
        <v>4922102</v>
      </c>
      <c r="K11" s="15">
        <f>G11-781202</f>
        <v>4268798</v>
      </c>
      <c r="L11" s="15">
        <v>4140900</v>
      </c>
      <c r="M11" s="30">
        <v>387</v>
      </c>
      <c r="N11" s="34">
        <v>0</v>
      </c>
      <c r="O11" s="39">
        <v>5.33</v>
      </c>
      <c r="P11" s="39">
        <v>2.665</v>
      </c>
      <c r="Q11" s="15">
        <f>K11/M11</f>
        <v>11030.485788113696</v>
      </c>
      <c r="R11" s="15">
        <f>K11/O11</f>
        <v>800900.18761726073</v>
      </c>
      <c r="S11" s="44">
        <f>K11/O11/43560</f>
        <v>18.3861383750519</v>
      </c>
      <c r="T11" s="39">
        <v>387</v>
      </c>
      <c r="U11" s="5" t="s">
        <v>48</v>
      </c>
      <c r="V11" t="s">
        <v>64</v>
      </c>
      <c r="X11" t="s">
        <v>50</v>
      </c>
      <c r="Y11">
        <v>0</v>
      </c>
      <c r="Z11">
        <v>0</v>
      </c>
      <c r="AA11" s="7">
        <v>39719</v>
      </c>
      <c r="AB11" t="s">
        <v>65</v>
      </c>
      <c r="AC11" s="6" t="s">
        <v>61</v>
      </c>
      <c r="AD11" t="s">
        <v>66</v>
      </c>
    </row>
    <row r="12" spans="1:64" x14ac:dyDescent="0.25">
      <c r="A12" t="s">
        <v>99</v>
      </c>
      <c r="B12" t="s">
        <v>100</v>
      </c>
      <c r="C12" s="25">
        <v>45093</v>
      </c>
      <c r="D12" s="15">
        <v>2750000</v>
      </c>
      <c r="E12" t="s">
        <v>46</v>
      </c>
      <c r="F12" t="s">
        <v>47</v>
      </c>
      <c r="G12" s="15">
        <v>2750000</v>
      </c>
      <c r="H12" s="15">
        <v>1061800</v>
      </c>
      <c r="I12" s="20">
        <f>H12/G12*100</f>
        <v>38.61090909090909</v>
      </c>
      <c r="J12" s="15">
        <v>3225781</v>
      </c>
      <c r="K12" s="15">
        <f>G12-2494490</f>
        <v>255510</v>
      </c>
      <c r="L12" s="15">
        <v>731291</v>
      </c>
      <c r="M12" s="30">
        <v>66</v>
      </c>
      <c r="N12" s="34">
        <v>0</v>
      </c>
      <c r="O12" s="39">
        <v>0.39</v>
      </c>
      <c r="P12" s="39">
        <v>0.39</v>
      </c>
      <c r="Q12" s="15">
        <f>K12/M12</f>
        <v>3871.3636363636365</v>
      </c>
      <c r="R12" s="15">
        <f>K12/O12</f>
        <v>655153.84615384613</v>
      </c>
      <c r="S12" s="44">
        <f>K12/O12/43560</f>
        <v>15.040262767535495</v>
      </c>
      <c r="T12" s="39">
        <v>66</v>
      </c>
      <c r="U12" s="5" t="s">
        <v>48</v>
      </c>
      <c r="V12" t="s">
        <v>101</v>
      </c>
      <c r="X12" t="s">
        <v>50</v>
      </c>
      <c r="Y12">
        <v>1</v>
      </c>
      <c r="Z12">
        <v>1</v>
      </c>
      <c r="AA12" s="7">
        <v>43405</v>
      </c>
      <c r="AB12" t="s">
        <v>65</v>
      </c>
      <c r="AC12" s="6" t="s">
        <v>61</v>
      </c>
      <c r="AD12" t="s">
        <v>66</v>
      </c>
    </row>
    <row r="13" spans="1:64" x14ac:dyDescent="0.25">
      <c r="A13" t="s">
        <v>105</v>
      </c>
      <c r="B13" t="s">
        <v>106</v>
      </c>
      <c r="C13" s="25">
        <v>45049</v>
      </c>
      <c r="D13" s="15">
        <v>3400000</v>
      </c>
      <c r="E13" t="s">
        <v>46</v>
      </c>
      <c r="F13" t="s">
        <v>47</v>
      </c>
      <c r="G13" s="15">
        <v>3399000</v>
      </c>
      <c r="H13" s="15">
        <v>1120600</v>
      </c>
      <c r="I13" s="20">
        <f>H13/G13*100</f>
        <v>32.968520152986173</v>
      </c>
      <c r="J13" s="15">
        <v>3168974</v>
      </c>
      <c r="K13" s="15">
        <f>G13-2056174</f>
        <v>1342826</v>
      </c>
      <c r="L13" s="15">
        <v>1112800</v>
      </c>
      <c r="M13" s="30">
        <v>104</v>
      </c>
      <c r="N13" s="34">
        <v>0</v>
      </c>
      <c r="O13" s="39">
        <v>0.47</v>
      </c>
      <c r="P13" s="39">
        <v>0.47</v>
      </c>
      <c r="Q13" s="15">
        <f>K13/M13</f>
        <v>12911.788461538461</v>
      </c>
      <c r="R13" s="15">
        <f>K13/O13</f>
        <v>2857076.5957446811</v>
      </c>
      <c r="S13" s="44">
        <f>K13/O13/43560</f>
        <v>65.589453529492218</v>
      </c>
      <c r="T13" s="39">
        <v>104</v>
      </c>
      <c r="U13" s="5" t="s">
        <v>48</v>
      </c>
      <c r="V13" t="s">
        <v>107</v>
      </c>
      <c r="X13" t="s">
        <v>50</v>
      </c>
      <c r="Y13">
        <v>0</v>
      </c>
      <c r="Z13">
        <v>1</v>
      </c>
      <c r="AA13" s="7">
        <v>39699</v>
      </c>
      <c r="AB13" t="s">
        <v>98</v>
      </c>
      <c r="AC13" s="6" t="s">
        <v>61</v>
      </c>
      <c r="AD13" t="s">
        <v>66</v>
      </c>
    </row>
    <row r="14" spans="1:64" x14ac:dyDescent="0.25">
      <c r="A14" t="s">
        <v>108</v>
      </c>
      <c r="B14" t="s">
        <v>109</v>
      </c>
      <c r="C14" s="25">
        <v>44721</v>
      </c>
      <c r="D14" s="15">
        <v>3600000</v>
      </c>
      <c r="E14" t="s">
        <v>110</v>
      </c>
      <c r="F14" t="s">
        <v>47</v>
      </c>
      <c r="G14" s="15">
        <v>3600000</v>
      </c>
      <c r="H14" s="15">
        <v>805400</v>
      </c>
      <c r="I14" s="20">
        <f>H14/G14*100</f>
        <v>22.37222222222222</v>
      </c>
      <c r="J14" s="15">
        <v>3213253</v>
      </c>
      <c r="K14" s="15">
        <f>G14-2143253</f>
        <v>1456747</v>
      </c>
      <c r="L14" s="15">
        <v>1070000</v>
      </c>
      <c r="M14" s="30">
        <v>100</v>
      </c>
      <c r="N14" s="34">
        <v>150</v>
      </c>
      <c r="O14" s="39">
        <v>0.34399999999999997</v>
      </c>
      <c r="P14" s="39">
        <v>0.34399999999999997</v>
      </c>
      <c r="Q14" s="15">
        <f>K14/M14</f>
        <v>14567.47</v>
      </c>
      <c r="R14" s="15">
        <f>K14/O14</f>
        <v>4234729.6511627911</v>
      </c>
      <c r="S14" s="44">
        <f>K14/O14/43560</f>
        <v>97.21601586691439</v>
      </c>
      <c r="T14" s="39">
        <v>100</v>
      </c>
      <c r="U14" s="5" t="s">
        <v>48</v>
      </c>
      <c r="V14" t="s">
        <v>111</v>
      </c>
      <c r="X14" t="s">
        <v>50</v>
      </c>
      <c r="Y14">
        <v>0</v>
      </c>
      <c r="Z14">
        <v>1</v>
      </c>
      <c r="AA14" s="7">
        <v>39699</v>
      </c>
      <c r="AB14" t="s">
        <v>65</v>
      </c>
      <c r="AC14" s="6" t="s">
        <v>61</v>
      </c>
      <c r="AD14" t="s">
        <v>66</v>
      </c>
    </row>
    <row r="15" spans="1:64" x14ac:dyDescent="0.25">
      <c r="A15" t="s">
        <v>79</v>
      </c>
      <c r="B15" t="s">
        <v>80</v>
      </c>
      <c r="C15" s="25">
        <v>45204</v>
      </c>
      <c r="D15" s="15">
        <v>254500</v>
      </c>
      <c r="E15" t="s">
        <v>46</v>
      </c>
      <c r="F15" t="s">
        <v>47</v>
      </c>
      <c r="G15" s="15">
        <v>254500</v>
      </c>
      <c r="H15" s="15">
        <v>46600</v>
      </c>
      <c r="I15" s="20">
        <f>H15/G15*100</f>
        <v>18.310412573673869</v>
      </c>
      <c r="J15" s="15">
        <v>93100</v>
      </c>
      <c r="K15" s="15">
        <f>G15-0</f>
        <v>254500</v>
      </c>
      <c r="L15" s="15">
        <v>93100</v>
      </c>
      <c r="M15" s="30">
        <v>190</v>
      </c>
      <c r="N15" s="34">
        <v>0</v>
      </c>
      <c r="O15" s="39">
        <v>2.0870000000000002</v>
      </c>
      <c r="P15" s="39">
        <v>2.0870000000000002</v>
      </c>
      <c r="Q15" s="15">
        <f>K15/M15</f>
        <v>1339.4736842105262</v>
      </c>
      <c r="R15" s="15">
        <f>K15/O15</f>
        <v>121945.37613799711</v>
      </c>
      <c r="S15" s="44">
        <f>K15/O15/43560</f>
        <v>2.7994806275940567</v>
      </c>
      <c r="T15" s="39">
        <v>190</v>
      </c>
      <c r="U15" s="5" t="s">
        <v>48</v>
      </c>
      <c r="V15" t="s">
        <v>81</v>
      </c>
      <c r="X15" t="s">
        <v>50</v>
      </c>
      <c r="Y15">
        <v>0</v>
      </c>
      <c r="Z15">
        <v>0</v>
      </c>
      <c r="AA15" s="7">
        <v>41935</v>
      </c>
      <c r="AB15" t="s">
        <v>52</v>
      </c>
      <c r="AC15" s="6" t="s">
        <v>53</v>
      </c>
      <c r="AD15" t="s">
        <v>82</v>
      </c>
    </row>
    <row r="16" spans="1:64" x14ac:dyDescent="0.25">
      <c r="A16" t="s">
        <v>92</v>
      </c>
      <c r="B16" t="s">
        <v>93</v>
      </c>
      <c r="C16" s="25">
        <v>45170</v>
      </c>
      <c r="D16" s="15">
        <v>550000</v>
      </c>
      <c r="E16" t="s">
        <v>46</v>
      </c>
      <c r="F16" t="s">
        <v>47</v>
      </c>
      <c r="G16" s="15">
        <v>550000</v>
      </c>
      <c r="H16" s="15">
        <v>179200</v>
      </c>
      <c r="I16" s="20">
        <f>H16/G16*100</f>
        <v>32.581818181818186</v>
      </c>
      <c r="J16" s="15">
        <v>573387</v>
      </c>
      <c r="K16" s="15">
        <f>G16-519487</f>
        <v>30513</v>
      </c>
      <c r="L16" s="15">
        <v>53900</v>
      </c>
      <c r="M16" s="30">
        <v>110</v>
      </c>
      <c r="N16" s="34">
        <v>200</v>
      </c>
      <c r="O16" s="39">
        <v>0.505</v>
      </c>
      <c r="P16" s="39">
        <v>0.505</v>
      </c>
      <c r="Q16" s="15">
        <f>K16/M16</f>
        <v>277.39090909090908</v>
      </c>
      <c r="R16" s="15">
        <f>K16/O16</f>
        <v>60421.782178217822</v>
      </c>
      <c r="S16" s="44">
        <f>K16/O16/43560</f>
        <v>1.3870932547800234</v>
      </c>
      <c r="T16" s="39">
        <v>110</v>
      </c>
      <c r="U16" s="5" t="s">
        <v>48</v>
      </c>
      <c r="V16" t="s">
        <v>94</v>
      </c>
      <c r="X16" t="s">
        <v>50</v>
      </c>
      <c r="Y16">
        <v>0</v>
      </c>
      <c r="Z16">
        <v>1</v>
      </c>
      <c r="AA16" s="7">
        <v>39608</v>
      </c>
      <c r="AB16" t="s">
        <v>65</v>
      </c>
      <c r="AC16" s="6" t="s">
        <v>61</v>
      </c>
      <c r="AD16" t="s">
        <v>82</v>
      </c>
    </row>
    <row r="17" spans="1:57" x14ac:dyDescent="0.25">
      <c r="A17" t="s">
        <v>44</v>
      </c>
      <c r="B17" t="s">
        <v>45</v>
      </c>
      <c r="C17" s="25">
        <v>45336</v>
      </c>
      <c r="D17" s="15">
        <v>1000000</v>
      </c>
      <c r="E17" t="s">
        <v>46</v>
      </c>
      <c r="F17" t="s">
        <v>47</v>
      </c>
      <c r="G17" s="15">
        <v>1000000</v>
      </c>
      <c r="H17" s="15">
        <v>559100</v>
      </c>
      <c r="I17" s="20">
        <f>H17/G17*100</f>
        <v>55.910000000000004</v>
      </c>
      <c r="J17" s="15">
        <v>1308750</v>
      </c>
      <c r="K17" s="15">
        <f>G17-0</f>
        <v>1000000</v>
      </c>
      <c r="L17" s="15">
        <v>1308750</v>
      </c>
      <c r="M17" s="30">
        <v>150</v>
      </c>
      <c r="N17" s="34">
        <v>0</v>
      </c>
      <c r="O17" s="39">
        <v>2.2410000000000001</v>
      </c>
      <c r="P17" s="39">
        <v>2.2410000000000001</v>
      </c>
      <c r="Q17" s="15">
        <f>K17/M17</f>
        <v>6666.666666666667</v>
      </c>
      <c r="R17" s="15">
        <f>K17/O17</f>
        <v>446229.36189201247</v>
      </c>
      <c r="S17" s="44">
        <f>K17/O17/43560</f>
        <v>10.24401657236025</v>
      </c>
      <c r="T17" s="39">
        <v>150</v>
      </c>
      <c r="U17" s="5" t="s">
        <v>48</v>
      </c>
      <c r="V17" t="s">
        <v>49</v>
      </c>
      <c r="X17" t="s">
        <v>50</v>
      </c>
      <c r="Y17">
        <v>0</v>
      </c>
      <c r="Z17">
        <v>1</v>
      </c>
      <c r="AA17" t="s">
        <v>51</v>
      </c>
      <c r="AB17" t="s">
        <v>52</v>
      </c>
      <c r="AC17" s="6" t="s">
        <v>53</v>
      </c>
      <c r="AD17" t="s">
        <v>54</v>
      </c>
      <c r="AL17" s="2"/>
      <c r="BC17" s="2"/>
      <c r="BE17" s="2"/>
    </row>
    <row r="18" spans="1:57" x14ac:dyDescent="0.25">
      <c r="A18" t="s">
        <v>55</v>
      </c>
      <c r="B18" t="s">
        <v>56</v>
      </c>
      <c r="C18" s="25">
        <v>44679</v>
      </c>
      <c r="D18" s="15">
        <v>3000000</v>
      </c>
      <c r="E18" t="s">
        <v>46</v>
      </c>
      <c r="F18" t="s">
        <v>47</v>
      </c>
      <c r="G18" s="15">
        <v>3000000</v>
      </c>
      <c r="H18" s="15">
        <v>1057500</v>
      </c>
      <c r="I18" s="20">
        <f>H18/G18*100</f>
        <v>35.25</v>
      </c>
      <c r="J18" s="15">
        <v>2050288</v>
      </c>
      <c r="K18" s="15">
        <f>G18-0</f>
        <v>3000000</v>
      </c>
      <c r="L18" s="15">
        <v>2050288</v>
      </c>
      <c r="M18" s="30">
        <v>234.99</v>
      </c>
      <c r="N18" s="34">
        <v>0</v>
      </c>
      <c r="O18" s="39">
        <v>1.9550000000000001</v>
      </c>
      <c r="P18" s="39">
        <v>1.9550000000000001</v>
      </c>
      <c r="Q18" s="15">
        <f>K18/M18</f>
        <v>12766.500702157538</v>
      </c>
      <c r="R18" s="15">
        <f>K18/O18</f>
        <v>1534526.8542199489</v>
      </c>
      <c r="S18" s="44">
        <f>K18/O18/43560</f>
        <v>35.227889215333995</v>
      </c>
      <c r="T18" s="39">
        <v>234.99</v>
      </c>
      <c r="U18" s="5" t="s">
        <v>48</v>
      </c>
      <c r="V18" t="s">
        <v>57</v>
      </c>
      <c r="X18" t="s">
        <v>50</v>
      </c>
      <c r="Y18">
        <v>0</v>
      </c>
      <c r="Z18">
        <v>1</v>
      </c>
      <c r="AA18" t="s">
        <v>51</v>
      </c>
      <c r="AB18" t="s">
        <v>52</v>
      </c>
      <c r="AC18" s="6" t="s">
        <v>53</v>
      </c>
      <c r="AD18" t="s">
        <v>54</v>
      </c>
    </row>
    <row r="19" spans="1:57" x14ac:dyDescent="0.25">
      <c r="A19" t="s">
        <v>58</v>
      </c>
      <c r="B19" t="s">
        <v>59</v>
      </c>
      <c r="C19" s="25">
        <v>44679</v>
      </c>
      <c r="D19" s="15">
        <v>1325000</v>
      </c>
      <c r="E19" t="s">
        <v>46</v>
      </c>
      <c r="F19" t="s">
        <v>47</v>
      </c>
      <c r="G19" s="15">
        <v>1325000</v>
      </c>
      <c r="H19" s="15">
        <v>793400</v>
      </c>
      <c r="I19" s="20">
        <f>H19/G19*100</f>
        <v>59.879245283018868</v>
      </c>
      <c r="J19" s="15">
        <v>1969166</v>
      </c>
      <c r="K19" s="15">
        <f>G19-430861</f>
        <v>894139</v>
      </c>
      <c r="L19" s="15">
        <v>1538305</v>
      </c>
      <c r="M19" s="30">
        <v>176.31</v>
      </c>
      <c r="N19" s="34">
        <v>0</v>
      </c>
      <c r="O19" s="39">
        <v>2.8889999999999998</v>
      </c>
      <c r="P19" s="39">
        <v>2.8889999999999998</v>
      </c>
      <c r="Q19" s="15">
        <f>K19/M19</f>
        <v>5071.4026430718623</v>
      </c>
      <c r="R19" s="15">
        <f>K19/O19</f>
        <v>309497.75008653518</v>
      </c>
      <c r="S19" s="44">
        <f>K19/O19/43560</f>
        <v>7.105090681509072</v>
      </c>
      <c r="T19" s="39">
        <v>176.31</v>
      </c>
      <c r="U19" s="5" t="s">
        <v>48</v>
      </c>
      <c r="V19" t="s">
        <v>60</v>
      </c>
      <c r="X19" t="s">
        <v>50</v>
      </c>
      <c r="Y19">
        <v>0</v>
      </c>
      <c r="Z19">
        <v>1</v>
      </c>
      <c r="AA19" t="s">
        <v>51</v>
      </c>
      <c r="AB19" t="s">
        <v>52</v>
      </c>
      <c r="AC19" s="6" t="s">
        <v>61</v>
      </c>
      <c r="AD19" t="s">
        <v>54</v>
      </c>
    </row>
    <row r="20" spans="1:57" ht="15.75" thickBot="1" x14ac:dyDescent="0.3">
      <c r="A20" t="s">
        <v>102</v>
      </c>
      <c r="B20" t="s">
        <v>103</v>
      </c>
      <c r="C20" s="25">
        <v>44798</v>
      </c>
      <c r="D20" s="15">
        <v>1275000</v>
      </c>
      <c r="E20" t="s">
        <v>46</v>
      </c>
      <c r="F20" t="s">
        <v>47</v>
      </c>
      <c r="G20" s="15">
        <v>1275000</v>
      </c>
      <c r="H20" s="15">
        <v>398600</v>
      </c>
      <c r="I20" s="20">
        <f>H20/G20*100</f>
        <v>31.262745098039211</v>
      </c>
      <c r="J20" s="15">
        <v>1231259</v>
      </c>
      <c r="K20" s="15">
        <f>G20-620509</f>
        <v>654491</v>
      </c>
      <c r="L20" s="15">
        <v>610750</v>
      </c>
      <c r="M20" s="30">
        <v>70</v>
      </c>
      <c r="N20" s="34">
        <v>290</v>
      </c>
      <c r="O20" s="39">
        <v>0.46600000000000003</v>
      </c>
      <c r="P20" s="39">
        <v>0.46600000000000003</v>
      </c>
      <c r="Q20" s="15">
        <f>K20/M20</f>
        <v>9349.8714285714286</v>
      </c>
      <c r="R20" s="15">
        <f>K20/O20</f>
        <v>1404487.1244635193</v>
      </c>
      <c r="S20" s="44">
        <f>K20/O20/43560</f>
        <v>32.242587797601452</v>
      </c>
      <c r="T20" s="39">
        <v>70</v>
      </c>
      <c r="U20" s="5" t="s">
        <v>48</v>
      </c>
      <c r="V20" t="s">
        <v>104</v>
      </c>
      <c r="X20" t="s">
        <v>50</v>
      </c>
      <c r="Y20">
        <v>0</v>
      </c>
      <c r="Z20">
        <v>0</v>
      </c>
      <c r="AA20" s="7">
        <v>39699</v>
      </c>
      <c r="AB20" t="s">
        <v>65</v>
      </c>
      <c r="AC20" s="6" t="s">
        <v>61</v>
      </c>
      <c r="AD20" t="s">
        <v>54</v>
      </c>
    </row>
    <row r="21" spans="1:57" ht="15.75" thickTop="1" x14ac:dyDescent="0.25">
      <c r="A21" s="8"/>
      <c r="B21" s="8"/>
      <c r="C21" s="26" t="s">
        <v>121</v>
      </c>
      <c r="D21" s="16">
        <f>+SUM(D2:D20)</f>
        <v>29762900</v>
      </c>
      <c r="E21" s="8"/>
      <c r="F21" s="8"/>
      <c r="G21" s="16">
        <f>+SUM(G2:G20)</f>
        <v>29761900</v>
      </c>
      <c r="H21" s="16">
        <f>+SUM(H2:H20)</f>
        <v>9339900</v>
      </c>
      <c r="I21" s="21"/>
      <c r="J21" s="16">
        <f>+SUM(J2:J20)</f>
        <v>28923803</v>
      </c>
      <c r="K21" s="16">
        <f>+SUM(K2:K20)</f>
        <v>17050529</v>
      </c>
      <c r="L21" s="16">
        <f>+SUM(L2:L20)</f>
        <v>16050432</v>
      </c>
      <c r="M21" s="31">
        <f>+SUM(M2:M20)</f>
        <v>4057.9500000000003</v>
      </c>
      <c r="N21" s="35"/>
      <c r="O21" s="40">
        <f>+SUM(O2:O20)</f>
        <v>67.175000000000011</v>
      </c>
      <c r="P21" s="40">
        <f>+SUM(P2:P20)</f>
        <v>61.340000000000018</v>
      </c>
      <c r="Q21" s="16"/>
      <c r="R21" s="16"/>
      <c r="S21" s="45"/>
      <c r="T21" s="40"/>
      <c r="U21" s="9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57" x14ac:dyDescent="0.25">
      <c r="A22" s="10"/>
      <c r="B22" s="10"/>
      <c r="C22" s="27"/>
      <c r="D22" s="17"/>
      <c r="E22" s="10"/>
      <c r="F22" s="10"/>
      <c r="G22" s="17"/>
      <c r="H22" s="17" t="s">
        <v>122</v>
      </c>
      <c r="I22" s="22">
        <f>H21/G21*100</f>
        <v>31.382069021131041</v>
      </c>
      <c r="J22" s="17"/>
      <c r="K22" s="17"/>
      <c r="L22" s="17" t="s">
        <v>123</v>
      </c>
      <c r="M22" s="32"/>
      <c r="N22" s="36"/>
      <c r="O22" s="41" t="s">
        <v>123</v>
      </c>
      <c r="P22" s="41"/>
      <c r="Q22" s="17"/>
      <c r="R22" s="17" t="s">
        <v>123</v>
      </c>
      <c r="S22" s="46"/>
      <c r="T22" s="41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57" x14ac:dyDescent="0.25">
      <c r="A23" s="12"/>
      <c r="B23" s="12"/>
      <c r="C23" s="28"/>
      <c r="D23" s="18"/>
      <c r="E23" s="12"/>
      <c r="F23" s="12"/>
      <c r="G23" s="18"/>
      <c r="H23" s="18" t="s">
        <v>124</v>
      </c>
      <c r="I23" s="23">
        <f>STDEV(I2:I20)</f>
        <v>16.367335157220388</v>
      </c>
      <c r="J23" s="18"/>
      <c r="K23" s="18"/>
      <c r="L23" s="18" t="s">
        <v>125</v>
      </c>
      <c r="M23" s="48">
        <f>K21/M21</f>
        <v>4201.759262681896</v>
      </c>
      <c r="N23" s="37"/>
      <c r="O23" s="42" t="s">
        <v>126</v>
      </c>
      <c r="P23" s="42">
        <f>K21/O21</f>
        <v>253822.53814663188</v>
      </c>
      <c r="Q23" s="18"/>
      <c r="R23" s="18" t="s">
        <v>127</v>
      </c>
      <c r="S23" s="47">
        <f>K21/O21/43560</f>
        <v>5.8269636856435234</v>
      </c>
      <c r="T23" s="42"/>
      <c r="U23" s="13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</sheetData>
  <sortState xmlns:xlrd2="http://schemas.microsoft.com/office/spreadsheetml/2017/richdata2" ref="A2:BL20">
    <sortCondition ref="AD2:AD20"/>
  </sortState>
  <conditionalFormatting sqref="A2:AR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Excellent</vt:lpstr>
      <vt:lpstr>Average</vt:lpstr>
      <vt:lpstr>Good</vt:lpstr>
      <vt:lpstr>Fair</vt:lpstr>
      <vt:lpstr>lacking</vt:lpstr>
      <vt:lpstr>Excellent River Front</vt:lpstr>
      <vt:lpstr>Good River Front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2024-12-24T15:49:09Z</dcterms:created>
  <dcterms:modified xsi:type="dcterms:W3CDTF">2024-12-27T19:20:07Z</dcterms:modified>
</cp:coreProperties>
</file>