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ssessing Department\2024-2025\Land Tables\"/>
    </mc:Choice>
  </mc:AlternateContent>
  <xr:revisionPtr revIDLastSave="0" documentId="13_ncr:1_{AC9C558A-27D7-4D66-85E2-7B51EE49D533}" xr6:coauthVersionLast="47" xr6:coauthVersionMax="47" xr10:uidLastSave="{00000000-0000-0000-0000-000000000000}"/>
  <bookViews>
    <workbookView xWindow="28680" yWindow="-120" windowWidth="29040" windowHeight="15840" tabRatio="849" activeTab="5" xr2:uid="{E58C49CB-2189-42B2-B647-7923888F8CBD}"/>
  </bookViews>
  <sheets>
    <sheet name="EXCELLENT FF" sheetId="12" r:id="rId1"/>
    <sheet name="GOOD FF" sheetId="11" r:id="rId2"/>
    <sheet name="AVG FF" sheetId="10" r:id="rId3"/>
    <sheet name="FAIR FF" sheetId="9" r:id="rId4"/>
    <sheet name="POORER FF" sheetId="8" r:id="rId5"/>
    <sheet name="GOOD VIEW FF" sheetId="7" r:id="rId6"/>
    <sheet name="AVG VIEW FF" sheetId="6" r:id="rId7"/>
    <sheet name="GOOD BACKLOT" sheetId="5" r:id="rId8"/>
    <sheet name="AVG BACKLOT" sheetId="4" r:id="rId9"/>
    <sheet name="POORER BACKLOT" sheetId="3" r:id="rId10"/>
    <sheet name="Land Analysis" sheetId="2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G8" i="9" l="1"/>
  <c r="X20" i="9"/>
  <c r="X19" i="9"/>
  <c r="M10" i="3"/>
  <c r="M12" i="4"/>
  <c r="M11" i="5"/>
  <c r="M11" i="6"/>
  <c r="M11" i="7"/>
  <c r="M12" i="8"/>
  <c r="M9" i="10"/>
  <c r="M10" i="11"/>
  <c r="M11" i="12"/>
  <c r="S3" i="12"/>
  <c r="K3" i="12"/>
  <c r="R3" i="12" s="1"/>
  <c r="I3" i="12"/>
  <c r="K3" i="3"/>
  <c r="S3" i="3" s="1"/>
  <c r="K4" i="5"/>
  <c r="K4" i="6"/>
  <c r="R4" i="6" s="1"/>
  <c r="K3" i="8"/>
  <c r="R3" i="8" s="1"/>
  <c r="K4" i="12"/>
  <c r="P5" i="12"/>
  <c r="O5" i="12"/>
  <c r="M5" i="12"/>
  <c r="L5" i="12"/>
  <c r="J5" i="12"/>
  <c r="H5" i="12"/>
  <c r="G5" i="12"/>
  <c r="D5" i="12"/>
  <c r="I4" i="12"/>
  <c r="K2" i="12"/>
  <c r="S2" i="12" s="1"/>
  <c r="I2" i="12"/>
  <c r="P4" i="11"/>
  <c r="O4" i="11"/>
  <c r="M4" i="11"/>
  <c r="L4" i="11"/>
  <c r="J4" i="11"/>
  <c r="H4" i="11"/>
  <c r="I5" i="11" s="1"/>
  <c r="G4" i="11"/>
  <c r="D4" i="11"/>
  <c r="K3" i="11"/>
  <c r="S3" i="11" s="1"/>
  <c r="I3" i="11"/>
  <c r="K2" i="11"/>
  <c r="S2" i="11" s="1"/>
  <c r="I2" i="11"/>
  <c r="P3" i="10"/>
  <c r="O3" i="10"/>
  <c r="M3" i="10"/>
  <c r="L3" i="10"/>
  <c r="J3" i="10"/>
  <c r="H3" i="10"/>
  <c r="G3" i="10"/>
  <c r="D3" i="10"/>
  <c r="I5" i="10"/>
  <c r="K2" i="10"/>
  <c r="R2" i="10" s="1"/>
  <c r="I2" i="10"/>
  <c r="P2" i="9"/>
  <c r="O2" i="9"/>
  <c r="M2" i="9"/>
  <c r="L2" i="9"/>
  <c r="J2" i="9"/>
  <c r="H2" i="9"/>
  <c r="I3" i="9" s="1"/>
  <c r="G2" i="9"/>
  <c r="D2" i="9"/>
  <c r="I4" i="9"/>
  <c r="P6" i="8"/>
  <c r="O6" i="8"/>
  <c r="M6" i="8"/>
  <c r="L6" i="8"/>
  <c r="J6" i="8"/>
  <c r="H6" i="8"/>
  <c r="G6" i="8"/>
  <c r="D6" i="8"/>
  <c r="K5" i="8"/>
  <c r="S5" i="8" s="1"/>
  <c r="I5" i="8"/>
  <c r="K4" i="8"/>
  <c r="R4" i="8" s="1"/>
  <c r="I4" i="8"/>
  <c r="I3" i="8"/>
  <c r="K2" i="8"/>
  <c r="S2" i="8" s="1"/>
  <c r="I2" i="8"/>
  <c r="P5" i="7"/>
  <c r="O5" i="7"/>
  <c r="M5" i="7"/>
  <c r="L5" i="7"/>
  <c r="J5" i="7"/>
  <c r="H5" i="7"/>
  <c r="I6" i="7" s="1"/>
  <c r="G5" i="7"/>
  <c r="D5" i="7"/>
  <c r="K4" i="7"/>
  <c r="S4" i="7" s="1"/>
  <c r="I4" i="7"/>
  <c r="K3" i="7"/>
  <c r="S3" i="7" s="1"/>
  <c r="I3" i="7"/>
  <c r="K2" i="7"/>
  <c r="S2" i="7" s="1"/>
  <c r="I2" i="7"/>
  <c r="P5" i="6"/>
  <c r="O5" i="6"/>
  <c r="M5" i="6"/>
  <c r="L5" i="6"/>
  <c r="J5" i="6"/>
  <c r="H5" i="6"/>
  <c r="G5" i="6"/>
  <c r="D5" i="6"/>
  <c r="I4" i="6"/>
  <c r="K3" i="6"/>
  <c r="S3" i="6" s="1"/>
  <c r="I3" i="6"/>
  <c r="K2" i="6"/>
  <c r="R2" i="6" s="1"/>
  <c r="I2" i="6"/>
  <c r="P5" i="5"/>
  <c r="O5" i="5"/>
  <c r="M5" i="5"/>
  <c r="L5" i="5"/>
  <c r="J5" i="5"/>
  <c r="H5" i="5"/>
  <c r="I6" i="5" s="1"/>
  <c r="G5" i="5"/>
  <c r="D5" i="5"/>
  <c r="S4" i="5"/>
  <c r="I4" i="5"/>
  <c r="K3" i="5"/>
  <c r="Q3" i="5" s="1"/>
  <c r="I3" i="5"/>
  <c r="K2" i="5"/>
  <c r="R2" i="5" s="1"/>
  <c r="I2" i="5"/>
  <c r="I7" i="5" s="1"/>
  <c r="P6" i="4"/>
  <c r="O6" i="4"/>
  <c r="M6" i="4"/>
  <c r="L6" i="4"/>
  <c r="J6" i="4"/>
  <c r="H6" i="4"/>
  <c r="G6" i="4"/>
  <c r="D6" i="4"/>
  <c r="K5" i="4"/>
  <c r="Q5" i="4" s="1"/>
  <c r="I5" i="4"/>
  <c r="I8" i="4" s="1"/>
  <c r="K4" i="4"/>
  <c r="Q4" i="4" s="1"/>
  <c r="I4" i="4"/>
  <c r="K3" i="4"/>
  <c r="S3" i="4" s="1"/>
  <c r="I3" i="4"/>
  <c r="K2" i="4"/>
  <c r="S2" i="4" s="1"/>
  <c r="I2" i="4"/>
  <c r="P4" i="3"/>
  <c r="O4" i="3"/>
  <c r="M4" i="3"/>
  <c r="L4" i="3"/>
  <c r="J4" i="3"/>
  <c r="H4" i="3"/>
  <c r="I5" i="3" s="1"/>
  <c r="G4" i="3"/>
  <c r="D4" i="3"/>
  <c r="I3" i="3"/>
  <c r="K2" i="3"/>
  <c r="S2" i="3" s="1"/>
  <c r="I2" i="3"/>
  <c r="I2" i="2"/>
  <c r="K2" i="2"/>
  <c r="K32" i="2" s="1"/>
  <c r="Q2" i="2"/>
  <c r="I3" i="2"/>
  <c r="I34" i="2" s="1"/>
  <c r="K3" i="2"/>
  <c r="R3" i="2" s="1"/>
  <c r="Q3" i="2"/>
  <c r="I4" i="2"/>
  <c r="K4" i="2"/>
  <c r="Q4" i="2"/>
  <c r="R4" i="2"/>
  <c r="S4" i="2"/>
  <c r="I5" i="2"/>
  <c r="K5" i="2"/>
  <c r="Q5" i="2"/>
  <c r="R5" i="2"/>
  <c r="S5" i="2"/>
  <c r="I6" i="2"/>
  <c r="K6" i="2"/>
  <c r="S6" i="2" s="1"/>
  <c r="Q6" i="2"/>
  <c r="R6" i="2"/>
  <c r="I7" i="2"/>
  <c r="K7" i="2"/>
  <c r="Q7" i="2" s="1"/>
  <c r="I8" i="2"/>
  <c r="K8" i="2"/>
  <c r="Q8" i="2" s="1"/>
  <c r="I9" i="2"/>
  <c r="K9" i="2"/>
  <c r="Q9" i="2"/>
  <c r="R9" i="2"/>
  <c r="S9" i="2"/>
  <c r="I10" i="2"/>
  <c r="K10" i="2"/>
  <c r="R10" i="2" s="1"/>
  <c r="Q10" i="2"/>
  <c r="I11" i="2"/>
  <c r="K11" i="2"/>
  <c r="R11" i="2" s="1"/>
  <c r="Q11" i="2"/>
  <c r="I12" i="2"/>
  <c r="K12" i="2"/>
  <c r="Q12" i="2"/>
  <c r="R12" i="2"/>
  <c r="S12" i="2"/>
  <c r="I13" i="2"/>
  <c r="K13" i="2"/>
  <c r="Q13" i="2"/>
  <c r="R13" i="2"/>
  <c r="S13" i="2"/>
  <c r="I14" i="2"/>
  <c r="K14" i="2"/>
  <c r="S14" i="2" s="1"/>
  <c r="Q14" i="2"/>
  <c r="R14" i="2"/>
  <c r="I15" i="2"/>
  <c r="K15" i="2"/>
  <c r="Q15" i="2" s="1"/>
  <c r="I16" i="2"/>
  <c r="K16" i="2"/>
  <c r="Q16" i="2" s="1"/>
  <c r="I17" i="2"/>
  <c r="K17" i="2"/>
  <c r="Q17" i="2"/>
  <c r="R17" i="2"/>
  <c r="S17" i="2"/>
  <c r="I18" i="2"/>
  <c r="K18" i="2"/>
  <c r="R18" i="2" s="1"/>
  <c r="Q18" i="2"/>
  <c r="I19" i="2"/>
  <c r="K19" i="2"/>
  <c r="R19" i="2" s="1"/>
  <c r="Q19" i="2"/>
  <c r="I20" i="2"/>
  <c r="K20" i="2"/>
  <c r="Q20" i="2"/>
  <c r="R20" i="2"/>
  <c r="S20" i="2"/>
  <c r="I21" i="2"/>
  <c r="K21" i="2"/>
  <c r="Q21" i="2"/>
  <c r="R21" i="2"/>
  <c r="S21" i="2"/>
  <c r="I22" i="2"/>
  <c r="K22" i="2"/>
  <c r="S22" i="2" s="1"/>
  <c r="Q22" i="2"/>
  <c r="R22" i="2"/>
  <c r="I23" i="2"/>
  <c r="K23" i="2"/>
  <c r="Q23" i="2" s="1"/>
  <c r="I24" i="2"/>
  <c r="K24" i="2"/>
  <c r="Q24" i="2" s="1"/>
  <c r="I25" i="2"/>
  <c r="K25" i="2"/>
  <c r="Q25" i="2"/>
  <c r="R25" i="2"/>
  <c r="S25" i="2"/>
  <c r="I26" i="2"/>
  <c r="K26" i="2"/>
  <c r="R26" i="2" s="1"/>
  <c r="Q26" i="2"/>
  <c r="I27" i="2"/>
  <c r="K27" i="2"/>
  <c r="R27" i="2" s="1"/>
  <c r="Q27" i="2"/>
  <c r="I28" i="2"/>
  <c r="K28" i="2"/>
  <c r="Q28" i="2"/>
  <c r="R28" i="2"/>
  <c r="S28" i="2"/>
  <c r="I29" i="2"/>
  <c r="K29" i="2"/>
  <c r="Q29" i="2"/>
  <c r="R29" i="2"/>
  <c r="S29" i="2"/>
  <c r="I30" i="2"/>
  <c r="K30" i="2"/>
  <c r="S30" i="2" s="1"/>
  <c r="Q30" i="2"/>
  <c r="R30" i="2"/>
  <c r="I31" i="2"/>
  <c r="K31" i="2"/>
  <c r="Q31" i="2" s="1"/>
  <c r="D32" i="2"/>
  <c r="G32" i="2"/>
  <c r="I33" i="2" s="1"/>
  <c r="H32" i="2"/>
  <c r="J32" i="2"/>
  <c r="L32" i="2"/>
  <c r="M32" i="2"/>
  <c r="O32" i="2"/>
  <c r="P32" i="2"/>
  <c r="K5" i="12" l="1"/>
  <c r="Q3" i="12"/>
  <c r="Q3" i="7"/>
  <c r="S4" i="12"/>
  <c r="I7" i="12"/>
  <c r="I6" i="12"/>
  <c r="Q3" i="11"/>
  <c r="R3" i="11"/>
  <c r="I6" i="11"/>
  <c r="Q2" i="11"/>
  <c r="R2" i="11"/>
  <c r="I4" i="10"/>
  <c r="Q2" i="10"/>
  <c r="S2" i="10"/>
  <c r="I8" i="8"/>
  <c r="I7" i="8"/>
  <c r="S3" i="8"/>
  <c r="S4" i="8"/>
  <c r="R3" i="7"/>
  <c r="I7" i="7"/>
  <c r="I7" i="6"/>
  <c r="Q2" i="6"/>
  <c r="S2" i="6"/>
  <c r="I6" i="6"/>
  <c r="Q4" i="5"/>
  <c r="S2" i="5"/>
  <c r="R3" i="5"/>
  <c r="S3" i="5"/>
  <c r="S4" i="4"/>
  <c r="I7" i="4"/>
  <c r="R5" i="4"/>
  <c r="R4" i="4"/>
  <c r="K6" i="4"/>
  <c r="M8" i="4" s="1"/>
  <c r="S5" i="4"/>
  <c r="I6" i="3"/>
  <c r="Q2" i="3"/>
  <c r="R2" i="3"/>
  <c r="Q4" i="12"/>
  <c r="R4" i="12"/>
  <c r="Q2" i="12"/>
  <c r="R2" i="12"/>
  <c r="K4" i="11"/>
  <c r="K3" i="10"/>
  <c r="K2" i="9"/>
  <c r="Q2" i="8"/>
  <c r="R2" i="8"/>
  <c r="Q5" i="8"/>
  <c r="R5" i="8"/>
  <c r="Q3" i="8"/>
  <c r="Q4" i="8"/>
  <c r="K6" i="8"/>
  <c r="Q2" i="7"/>
  <c r="R2" i="7"/>
  <c r="Q4" i="7"/>
  <c r="R4" i="7"/>
  <c r="K5" i="7"/>
  <c r="Q4" i="6"/>
  <c r="S4" i="6"/>
  <c r="Q3" i="6"/>
  <c r="R3" i="6"/>
  <c r="K5" i="6"/>
  <c r="Q2" i="5"/>
  <c r="R4" i="5"/>
  <c r="K5" i="5"/>
  <c r="Q2" i="4"/>
  <c r="R2" i="4"/>
  <c r="Q3" i="4"/>
  <c r="R3" i="4"/>
  <c r="Q3" i="3"/>
  <c r="R3" i="3"/>
  <c r="K4" i="3"/>
  <c r="M34" i="2"/>
  <c r="P34" i="2"/>
  <c r="S34" i="2"/>
  <c r="S2" i="2"/>
  <c r="S31" i="2"/>
  <c r="S23" i="2"/>
  <c r="S15" i="2"/>
  <c r="S7" i="2"/>
  <c r="R31" i="2"/>
  <c r="S26" i="2"/>
  <c r="R23" i="2"/>
  <c r="S18" i="2"/>
  <c r="R15" i="2"/>
  <c r="S10" i="2"/>
  <c r="R7" i="2"/>
  <c r="R2" i="2"/>
  <c r="S24" i="2"/>
  <c r="S16" i="2"/>
  <c r="S8" i="2"/>
  <c r="S27" i="2"/>
  <c r="R24" i="2"/>
  <c r="S19" i="2"/>
  <c r="R16" i="2"/>
  <c r="S11" i="2"/>
  <c r="R8" i="2"/>
  <c r="S3" i="2"/>
  <c r="P8" i="4" l="1"/>
  <c r="S8" i="4"/>
  <c r="S7" i="12"/>
  <c r="P7" i="12"/>
  <c r="M7" i="12"/>
  <c r="S6" i="11"/>
  <c r="P6" i="11"/>
  <c r="M6" i="11"/>
  <c r="S5" i="10"/>
  <c r="P5" i="10"/>
  <c r="M5" i="10"/>
  <c r="S4" i="9"/>
  <c r="P4" i="9"/>
  <c r="M4" i="9"/>
  <c r="S8" i="8"/>
  <c r="P8" i="8"/>
  <c r="M8" i="8"/>
  <c r="S7" i="7"/>
  <c r="P7" i="7"/>
  <c r="M7" i="7"/>
  <c r="S7" i="6"/>
  <c r="P7" i="6"/>
  <c r="M7" i="6"/>
  <c r="S7" i="5"/>
  <c r="P7" i="5"/>
  <c r="M7" i="5"/>
  <c r="S6" i="3"/>
  <c r="P6" i="3"/>
  <c r="M6" i="3"/>
</calcChain>
</file>

<file path=xl/sharedStrings.xml><?xml version="1.0" encoding="utf-8"?>
<sst xmlns="http://schemas.openxmlformats.org/spreadsheetml/2006/main" count="1171" uniqueCount="179">
  <si>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</si>
  <si>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</si>
  <si>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</si>
  <si>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</si>
  <si>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</si>
  <si>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</si>
  <si>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</si>
  <si>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Asd. when Sold</t>
  </si>
  <si>
    <t>Asd/Adj. Sale</t>
  </si>
  <si>
    <t>Cur. Appraisal</t>
  </si>
  <si>
    <t>Land Residual</t>
  </si>
  <si>
    <t>Est. Land Value</t>
  </si>
  <si>
    <t>Effec. Front</t>
  </si>
  <si>
    <t>Depth</t>
  </si>
  <si>
    <t>Net Acres</t>
  </si>
  <si>
    <t>Total Acres</t>
  </si>
  <si>
    <t>Dollars/FF</t>
  </si>
  <si>
    <t>Dollars/Acre</t>
  </si>
  <si>
    <t>Dollars/SqFt</t>
  </si>
  <si>
    <t>Actual Front</t>
  </si>
  <si>
    <t>ECF Area</t>
  </si>
  <si>
    <t>Liber/Page</t>
  </si>
  <si>
    <t>Other Parcels in Sale</t>
  </si>
  <si>
    <t>Land Table</t>
  </si>
  <si>
    <t>Gravel</t>
  </si>
  <si>
    <t>Paved</t>
  </si>
  <si>
    <t>Inspected Date</t>
  </si>
  <si>
    <t>Use Code</t>
  </si>
  <si>
    <t>Class</t>
  </si>
  <si>
    <t>Rate Group 1</t>
  </si>
  <si>
    <t>Rate Group 2</t>
  </si>
  <si>
    <t>Rate Group 3</t>
  </si>
  <si>
    <t>Site Characteristics</t>
  </si>
  <si>
    <t>Access</t>
  </si>
  <si>
    <t>Water Supply</t>
  </si>
  <si>
    <t>Sewer</t>
  </si>
  <si>
    <t>Property Restrictions</t>
  </si>
  <si>
    <t>Restriction Notes</t>
  </si>
  <si>
    <t>Waterfont View</t>
  </si>
  <si>
    <t>Waterfront</t>
  </si>
  <si>
    <t>Waterfront Name</t>
  </si>
  <si>
    <t>Waterfront Ownership</t>
  </si>
  <si>
    <t>Waterfront Influences</t>
  </si>
  <si>
    <t>Bottom Character</t>
  </si>
  <si>
    <t>20-010-093-10</t>
  </si>
  <si>
    <t>3208 FOX RIDGE CT</t>
  </si>
  <si>
    <t>WD</t>
  </si>
  <si>
    <t>03-ARM'S LENGTH</t>
  </si>
  <si>
    <t>KRA</t>
  </si>
  <si>
    <t>4858/402</t>
  </si>
  <si>
    <t>20-015-002-00</t>
  </si>
  <si>
    <t>KRA-KALAMZOO RIVER AREA</t>
  </si>
  <si>
    <t>RES 1 FAMILY</t>
  </si>
  <si>
    <t>401</t>
  </si>
  <si>
    <t>GOOD RIVER VIEW</t>
  </si>
  <si>
    <t>20-014-001-20</t>
  </si>
  <si>
    <t>3210 62ND ST</t>
  </si>
  <si>
    <t>RRN</t>
  </si>
  <si>
    <t>4911/153</t>
  </si>
  <si>
    <t>AVG BACKLOT</t>
  </si>
  <si>
    <t>20-014-014-00</t>
  </si>
  <si>
    <t>6216 131ST AVE</t>
  </si>
  <si>
    <t>4908/80</t>
  </si>
  <si>
    <t>AVG FRONT</t>
  </si>
  <si>
    <t>20-014-021-14</t>
  </si>
  <si>
    <t>SILVER LAKE DR V/L</t>
  </si>
  <si>
    <t>4925/462</t>
  </si>
  <si>
    <t>RES VAC</t>
  </si>
  <si>
    <t>402</t>
  </si>
  <si>
    <t>EXCELLENT FRONT</t>
  </si>
  <si>
    <t>20-014-029-02</t>
  </si>
  <si>
    <t>INDIAN PT RD V/L</t>
  </si>
  <si>
    <t>4848/272</t>
  </si>
  <si>
    <t>NOT INSPECTED</t>
  </si>
  <si>
    <t>GOOD BACKLOT</t>
  </si>
  <si>
    <t>20-014-029-03</t>
  </si>
  <si>
    <t>6289 GESH</t>
  </si>
  <si>
    <t>4844/644</t>
  </si>
  <si>
    <t>20-014-029-04</t>
  </si>
  <si>
    <t>6293 GESH TRAIL</t>
  </si>
  <si>
    <t>4829-472</t>
  </si>
  <si>
    <t>20-014-029-10</t>
  </si>
  <si>
    <t>3001 INDIAN PT RD</t>
  </si>
  <si>
    <t>4823/168</t>
  </si>
  <si>
    <t>POORER FRONT</t>
  </si>
  <si>
    <t>20-014-029-20</t>
  </si>
  <si>
    <t>3031 INDIAN POINT RD</t>
  </si>
  <si>
    <t>4806/341</t>
  </si>
  <si>
    <t>20-023-012-00</t>
  </si>
  <si>
    <t>RIVERSIDE DR V/L</t>
  </si>
  <si>
    <t>4829/109</t>
  </si>
  <si>
    <t>001</t>
  </si>
  <si>
    <t>20-023-012-41</t>
  </si>
  <si>
    <t>2971 PEACH CREEK CT</t>
  </si>
  <si>
    <t>SBN</t>
  </si>
  <si>
    <t>4806/778</t>
  </si>
  <si>
    <t>AVG RIVER VIEW</t>
  </si>
  <si>
    <t>20-023-012-50</t>
  </si>
  <si>
    <t>RIVERSIDE RD V/L</t>
  </si>
  <si>
    <t>4906/685</t>
  </si>
  <si>
    <t>20-023-013-01</t>
  </si>
  <si>
    <t>6354 RIVERSIDE RD</t>
  </si>
  <si>
    <t>4923/608</t>
  </si>
  <si>
    <t>20-023-013-02</t>
  </si>
  <si>
    <t>6352 RIVERSIDE RD</t>
  </si>
  <si>
    <t>4924/334</t>
  </si>
  <si>
    <t>20-050-011-00</t>
  </si>
  <si>
    <t>6177 BAYOU TR</t>
  </si>
  <si>
    <t>4883/851</t>
  </si>
  <si>
    <t>RESIDENTIAL</t>
  </si>
  <si>
    <t>20-050-014-00</t>
  </si>
  <si>
    <t>6171 BAYOU TR</t>
  </si>
  <si>
    <t>4904/807</t>
  </si>
  <si>
    <t>20-190-003-00</t>
  </si>
  <si>
    <t>6564 HERON RIDGE RD</t>
  </si>
  <si>
    <t>4790/455</t>
  </si>
  <si>
    <t>20-190-006-00</t>
  </si>
  <si>
    <t>6546 HERON RIDGE RD</t>
  </si>
  <si>
    <t>4783/915</t>
  </si>
  <si>
    <t>20-190-013-00</t>
  </si>
  <si>
    <t>6597 HERON BAY DR</t>
  </si>
  <si>
    <t>4827/709</t>
  </si>
  <si>
    <t>GOOD FRONT</t>
  </si>
  <si>
    <t>20-230-004-00</t>
  </si>
  <si>
    <t>3260 LORRIMAR LN</t>
  </si>
  <si>
    <t>4876/160</t>
  </si>
  <si>
    <t>20-230-014-00</t>
  </si>
  <si>
    <t>3239 LORRIMAR LANE</t>
  </si>
  <si>
    <t>4766/205</t>
  </si>
  <si>
    <t>20-260-024-00</t>
  </si>
  <si>
    <t>3268 LORRIMAR LN</t>
  </si>
  <si>
    <t>4873/556</t>
  </si>
  <si>
    <t>20-260-025-10</t>
  </si>
  <si>
    <t>EAGLE RIDGE V/L #3</t>
  </si>
  <si>
    <t>4785/96</t>
  </si>
  <si>
    <t>20-260-035-00</t>
  </si>
  <si>
    <t>3142 WATERS EDGE</t>
  </si>
  <si>
    <t>4853/892</t>
  </si>
  <si>
    <t>20-295-005-00</t>
  </si>
  <si>
    <t>6026 RIVER RIDGE</t>
  </si>
  <si>
    <t>4923/952</t>
  </si>
  <si>
    <t>20-295-007-00</t>
  </si>
  <si>
    <t>6036 RIVER RIDGE DR</t>
  </si>
  <si>
    <t>4919/389</t>
  </si>
  <si>
    <t>20-295-008-00</t>
  </si>
  <si>
    <t>6030 RIVER RIDGE DR</t>
  </si>
  <si>
    <t>4918/480</t>
  </si>
  <si>
    <t>POORER BACKLOT</t>
  </si>
  <si>
    <t>20-295-022-00</t>
  </si>
  <si>
    <t>6036 POTAWATOMIE RIDGE DR</t>
  </si>
  <si>
    <t>4803/627</t>
  </si>
  <si>
    <t>20-315-007-00</t>
  </si>
  <si>
    <t>3231 LAKE TRAIL DR</t>
  </si>
  <si>
    <t>4838/310</t>
  </si>
  <si>
    <t>20-315-009-00</t>
  </si>
  <si>
    <t>3237 LAKE TRAIL DR</t>
  </si>
  <si>
    <t>4839/43</t>
  </si>
  <si>
    <t>Totals:</t>
  </si>
  <si>
    <t>Sale. Ratio =&gt;</t>
  </si>
  <si>
    <t>Average</t>
  </si>
  <si>
    <t>Std. Dev. =&gt;</t>
  </si>
  <si>
    <t>per FF=&gt;</t>
  </si>
  <si>
    <t>per Net Acre=&gt;</t>
  </si>
  <si>
    <t>per SqFt=&gt;</t>
  </si>
  <si>
    <t>Concluded FF Rate</t>
  </si>
  <si>
    <t>Excellent FF</t>
  </si>
  <si>
    <t>Good FF</t>
  </si>
  <si>
    <t>Avg FF</t>
  </si>
  <si>
    <t>Poorer FF</t>
  </si>
  <si>
    <t>Good View FF</t>
  </si>
  <si>
    <t>Avg View FF</t>
  </si>
  <si>
    <t>Good Backlot</t>
  </si>
  <si>
    <t>Avg Backlot</t>
  </si>
  <si>
    <t>Poorer Backlot</t>
  </si>
  <si>
    <t>Percent Change</t>
  </si>
  <si>
    <t>Avg Percent Change</t>
  </si>
  <si>
    <t>Median Percent Change</t>
  </si>
  <si>
    <t>2024 Concluded FF Rate</t>
  </si>
  <si>
    <t>2025 Concluded FF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</si>
</sst>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8" formatCode="&quot;$&quot;#,##0.00_);[Red]\(&quot;$&quot;#,##0.00\)"/>
    <numFmt numFmtId="164" formatCode="#0.00_);[Red]\(#0.00\)"/>
    <numFmt numFmtId="165" formatCode="mm/dd/yy"/>
    <numFmt numFmtId="166" formatCode="#,##0.0_);[Red]\(#,##0.0\)"/>
    <numFmt numFmtId="167" formatCode="#0.0_);[Red]\(#0.0\)"/>
    <numFmt numFmtId="168" formatCode="&quot;$&quot;#,##0_);[Red]\(&quot;$&quot;#,##0.00\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 applyAlignment="1">
      <alignment horizontal="right"/>
    </xf>
    <xf numFmtId="14" fontId="0" fillId="0" borderId="0" xfId="0" applyNumberFormat="1"/>
    <xf numFmtId="0" fontId="0" fillId="0" borderId="0" xfId="0" quotePrefix="1"/>
    <xf numFmtId="0" fontId="3" fillId="3" borderId="1" xfId="0" applyFont="1" applyFill="1" applyBorder="1"/>
    <xf numFmtId="0" fontId="3" fillId="3" borderId="1" xfId="0" applyFont="1" applyFill="1" applyBorder="1" applyAlignment="1">
      <alignment horizontal="right"/>
    </xf>
    <xf numFmtId="0" fontId="3" fillId="3" borderId="0" xfId="0" applyFont="1" applyFill="1" applyBorder="1"/>
    <xf numFmtId="0" fontId="3" fillId="3" borderId="0" xfId="0" applyFont="1" applyFill="1" applyBorder="1" applyAlignment="1">
      <alignment horizontal="right"/>
    </xf>
    <xf numFmtId="0" fontId="3" fillId="3" borderId="2" xfId="0" applyFont="1" applyFill="1" applyBorder="1"/>
    <xf numFmtId="0" fontId="3" fillId="3" borderId="2" xfId="0" applyFont="1" applyFill="1" applyBorder="1" applyAlignment="1">
      <alignment horizontal="right"/>
    </xf>
    <xf numFmtId="6" fontId="2" fillId="2" borderId="0" xfId="0" applyNumberFormat="1" applyFont="1" applyFill="1" applyAlignment="1">
      <alignment horizontal="center"/>
    </xf>
    <xf numFmtId="6" fontId="0" fillId="0" borderId="0" xfId="0" applyNumberFormat="1"/>
    <xf numFmtId="6" fontId="3" fillId="3" borderId="1" xfId="0" applyNumberFormat="1" applyFont="1" applyFill="1" applyBorder="1"/>
    <xf numFmtId="6" fontId="3" fillId="3" borderId="0" xfId="0" applyNumberFormat="1" applyFont="1" applyFill="1" applyBorder="1"/>
    <xf numFmtId="6" fontId="3" fillId="3" borderId="2" xfId="0" applyNumberFormat="1" applyFont="1" applyFill="1" applyBorder="1"/>
    <xf numFmtId="164" fontId="2" fillId="2" borderId="0" xfId="0" applyNumberFormat="1" applyFont="1" applyFill="1" applyAlignment="1">
      <alignment horizontal="center"/>
    </xf>
    <xf numFmtId="164" fontId="0" fillId="0" borderId="0" xfId="0" applyNumberFormat="1"/>
    <xf numFmtId="164" fontId="3" fillId="3" borderId="1" xfId="0" applyNumberFormat="1" applyFont="1" applyFill="1" applyBorder="1"/>
    <xf numFmtId="164" fontId="3" fillId="3" borderId="0" xfId="0" applyNumberFormat="1" applyFont="1" applyFill="1" applyBorder="1"/>
    <xf numFmtId="164" fontId="3" fillId="3" borderId="2" xfId="0" applyNumberFormat="1" applyFont="1" applyFill="1" applyBorder="1"/>
    <xf numFmtId="165" fontId="2" fillId="2" borderId="0" xfId="0" applyNumberFormat="1" applyFont="1" applyFill="1" applyAlignment="1">
      <alignment horizontal="center"/>
    </xf>
    <xf numFmtId="165" fontId="0" fillId="0" borderId="0" xfId="0" applyNumberFormat="1"/>
    <xf numFmtId="165" fontId="3" fillId="3" borderId="1" xfId="0" applyNumberFormat="1" applyFont="1" applyFill="1" applyBorder="1"/>
    <xf numFmtId="165" fontId="3" fillId="3" borderId="0" xfId="0" applyNumberFormat="1" applyFont="1" applyFill="1" applyBorder="1"/>
    <xf numFmtId="165" fontId="3" fillId="3" borderId="2" xfId="0" applyNumberFormat="1" applyFont="1" applyFill="1" applyBorder="1"/>
    <xf numFmtId="166" fontId="2" fillId="2" borderId="0" xfId="0" applyNumberFormat="1" applyFont="1" applyFill="1" applyAlignment="1">
      <alignment horizontal="center"/>
    </xf>
    <xf numFmtId="166" fontId="0" fillId="0" borderId="0" xfId="0" applyNumberFormat="1"/>
    <xf numFmtId="166" fontId="3" fillId="3" borderId="1" xfId="0" applyNumberFormat="1" applyFont="1" applyFill="1" applyBorder="1"/>
    <xf numFmtId="166" fontId="3" fillId="3" borderId="0" xfId="0" applyNumberFormat="1" applyFont="1" applyFill="1" applyBorder="1"/>
    <xf numFmtId="167" fontId="2" fillId="2" borderId="0" xfId="0" applyNumberFormat="1" applyFont="1" applyFill="1" applyAlignment="1">
      <alignment horizontal="center"/>
    </xf>
    <xf numFmtId="167" fontId="0" fillId="0" borderId="0" xfId="0" applyNumberFormat="1"/>
    <xf numFmtId="167" fontId="3" fillId="3" borderId="1" xfId="0" applyNumberFormat="1" applyFont="1" applyFill="1" applyBorder="1"/>
    <xf numFmtId="167" fontId="3" fillId="3" borderId="0" xfId="0" applyNumberFormat="1" applyFont="1" applyFill="1" applyBorder="1"/>
    <xf numFmtId="167" fontId="3" fillId="3" borderId="2" xfId="0" applyNumberFormat="1" applyFont="1" applyFill="1" applyBorder="1"/>
    <xf numFmtId="40" fontId="2" fillId="2" borderId="0" xfId="0" applyNumberFormat="1" applyFont="1" applyFill="1" applyAlignment="1">
      <alignment horizontal="center"/>
    </xf>
    <xf numFmtId="40" fontId="0" fillId="0" borderId="0" xfId="0" applyNumberFormat="1"/>
    <xf numFmtId="40" fontId="3" fillId="3" borderId="1" xfId="0" applyNumberFormat="1" applyFont="1" applyFill="1" applyBorder="1"/>
    <xf numFmtId="40" fontId="3" fillId="3" borderId="0" xfId="0" applyNumberFormat="1" applyFont="1" applyFill="1" applyBorder="1"/>
    <xf numFmtId="40" fontId="3" fillId="3" borderId="2" xfId="0" applyNumberFormat="1" applyFont="1" applyFill="1" applyBorder="1"/>
    <xf numFmtId="8" fontId="2" fillId="2" borderId="0" xfId="0" applyNumberFormat="1" applyFont="1" applyFill="1" applyAlignment="1">
      <alignment horizontal="center"/>
    </xf>
    <xf numFmtId="8" fontId="0" fillId="0" borderId="0" xfId="0" applyNumberFormat="1"/>
    <xf numFmtId="8" fontId="3" fillId="3" borderId="1" xfId="0" applyNumberFormat="1" applyFont="1" applyFill="1" applyBorder="1"/>
    <xf numFmtId="8" fontId="3" fillId="3" borderId="0" xfId="0" applyNumberFormat="1" applyFont="1" applyFill="1" applyBorder="1"/>
    <xf numFmtId="8" fontId="3" fillId="3" borderId="2" xfId="0" applyNumberFormat="1" applyFont="1" applyFill="1" applyBorder="1"/>
    <xf numFmtId="168" fontId="3" fillId="3" borderId="2" xfId="0" applyNumberFormat="1" applyFont="1" applyFill="1" applyBorder="1"/>
    <xf numFmtId="6" fontId="0" fillId="0" borderId="0" xfId="0" applyNumberFormat="1" applyAlignment="1">
      <alignment horizontal="right"/>
    </xf>
    <xf numFmtId="10" fontId="0" fillId="0" borderId="0" xfId="1" applyNumberFormat="1" applyFont="1"/>
    <xf numFmtId="2" fontId="0" fillId="0" borderId="0" xfId="0" applyNumberFormat="1"/>
    <xf numFmtId="0" fontId="0" fillId="4" borderId="0" xfId="0" applyFill="1"/>
  </cellXfs>
  <cellStyles count="2">
    <cellStyle name="Normal" xfId="0" builtinId="0"/>
    <cellStyle name="Percent" xfId="1" builtinId="5"/>
  </cellStyles>
  <dxfs count="22"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  <dxf>
      <fill>
        <patternFill>
          <bgColor rgb="FFFFFFFF"/>
        </patternFill>
      </fill>
    </dxf>
    <dxf>
      <fill>
        <patternFill>
          <bgColor rgb="FFA7E4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639EE-8355-4E31-A385-4940AF421BC3}">
  <dimension ref="A1:BL11"/>
  <sheetViews>
    <sheetView workbookViewId="0">
      <selection activeCell="O15" sqref="O15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425781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64</v>
      </c>
      <c r="B2" t="s">
        <v>65</v>
      </c>
      <c r="C2" s="25">
        <v>45359</v>
      </c>
      <c r="D2" s="15">
        <v>551000</v>
      </c>
      <c r="E2" t="s">
        <v>46</v>
      </c>
      <c r="F2" t="s">
        <v>47</v>
      </c>
      <c r="G2" s="15">
        <v>551000</v>
      </c>
      <c r="H2" s="15">
        <v>164400</v>
      </c>
      <c r="I2" s="20">
        <f>H2/G2*100</f>
        <v>29.836660617059891</v>
      </c>
      <c r="J2" s="15">
        <v>388141</v>
      </c>
      <c r="K2" s="15">
        <f>G2-0</f>
        <v>551000</v>
      </c>
      <c r="L2" s="15">
        <v>388141</v>
      </c>
      <c r="M2" s="30">
        <v>128</v>
      </c>
      <c r="N2" s="34">
        <v>0</v>
      </c>
      <c r="O2" s="39">
        <v>3</v>
      </c>
      <c r="P2" s="39">
        <v>3</v>
      </c>
      <c r="Q2" s="15">
        <f>K2/M2</f>
        <v>4304.6875</v>
      </c>
      <c r="R2" s="15">
        <f>K2/O2</f>
        <v>183666.66666666666</v>
      </c>
      <c r="S2" s="44">
        <f>K2/O2/43560</f>
        <v>4.216406489133762</v>
      </c>
      <c r="T2" s="39">
        <v>128</v>
      </c>
      <c r="U2" s="5" t="s">
        <v>48</v>
      </c>
      <c r="V2" t="s">
        <v>66</v>
      </c>
      <c r="X2" t="s">
        <v>51</v>
      </c>
      <c r="Y2">
        <v>0</v>
      </c>
      <c r="Z2">
        <v>0</v>
      </c>
      <c r="AA2" s="6">
        <v>45501</v>
      </c>
      <c r="AB2" t="s">
        <v>67</v>
      </c>
      <c r="AC2" s="7" t="s">
        <v>68</v>
      </c>
      <c r="AD2" t="s">
        <v>69</v>
      </c>
    </row>
    <row r="3" spans="1:64" x14ac:dyDescent="0.25">
      <c r="A3" t="s">
        <v>132</v>
      </c>
      <c r="B3" t="s">
        <v>133</v>
      </c>
      <c r="C3" s="25">
        <v>44728</v>
      </c>
      <c r="D3" s="15">
        <v>475000</v>
      </c>
      <c r="E3" t="s">
        <v>46</v>
      </c>
      <c r="F3" t="s">
        <v>47</v>
      </c>
      <c r="G3" s="15">
        <v>475000</v>
      </c>
      <c r="H3" s="15">
        <v>92500</v>
      </c>
      <c r="I3" s="20">
        <f>H3/G3*100</f>
        <v>19.473684210526315</v>
      </c>
      <c r="J3" s="15">
        <v>453633</v>
      </c>
      <c r="K3" s="15">
        <f>G3-0</f>
        <v>475000</v>
      </c>
      <c r="L3" s="15">
        <v>453633</v>
      </c>
      <c r="M3" s="30">
        <v>250</v>
      </c>
      <c r="N3" s="34">
        <v>0</v>
      </c>
      <c r="O3" s="39">
        <v>2.7</v>
      </c>
      <c r="P3" s="39">
        <v>2.7</v>
      </c>
      <c r="Q3" s="15">
        <f>K3/M3</f>
        <v>1900</v>
      </c>
      <c r="R3" s="15">
        <f>K3/O3</f>
        <v>175925.92592592593</v>
      </c>
      <c r="S3" s="44">
        <f>K3/O3/43560</f>
        <v>4.0387035336530284</v>
      </c>
      <c r="T3" s="39">
        <v>250</v>
      </c>
      <c r="U3" s="5" t="s">
        <v>48</v>
      </c>
      <c r="V3" t="s">
        <v>134</v>
      </c>
      <c r="X3" t="s">
        <v>51</v>
      </c>
      <c r="Y3">
        <v>0</v>
      </c>
      <c r="Z3">
        <v>0</v>
      </c>
      <c r="AA3" s="6">
        <v>42656</v>
      </c>
      <c r="AB3" t="s">
        <v>67</v>
      </c>
      <c r="AC3" s="7" t="s">
        <v>68</v>
      </c>
      <c r="AD3" t="s">
        <v>122</v>
      </c>
    </row>
    <row r="4" spans="1:64" ht="15.75" thickBot="1" x14ac:dyDescent="0.3">
      <c r="A4" t="s">
        <v>135</v>
      </c>
      <c r="B4" t="s">
        <v>136</v>
      </c>
      <c r="C4" s="25">
        <v>45044</v>
      </c>
      <c r="D4" s="15">
        <v>650000</v>
      </c>
      <c r="E4" t="s">
        <v>46</v>
      </c>
      <c r="F4" t="s">
        <v>47</v>
      </c>
      <c r="G4" s="15">
        <v>650000</v>
      </c>
      <c r="H4" s="15">
        <v>164300</v>
      </c>
      <c r="I4" s="20">
        <f>H4/G4*100</f>
        <v>25.276923076923076</v>
      </c>
      <c r="J4" s="15">
        <v>371155</v>
      </c>
      <c r="K4" s="15">
        <f>G4-((287207-4577)*1.2)</f>
        <v>310844</v>
      </c>
      <c r="L4" s="15">
        <v>144000</v>
      </c>
      <c r="M4" s="30">
        <v>60</v>
      </c>
      <c r="N4" s="34">
        <v>0</v>
      </c>
      <c r="O4" s="39">
        <v>0.38600000000000001</v>
      </c>
      <c r="P4" s="39">
        <v>3.29</v>
      </c>
      <c r="Q4" s="15">
        <f>K4/M4</f>
        <v>5180.7333333333336</v>
      </c>
      <c r="R4" s="15">
        <f>K4/O4</f>
        <v>805295.3367875648</v>
      </c>
      <c r="S4" s="44">
        <f>K4/O4/43560</f>
        <v>18.48703711633528</v>
      </c>
      <c r="T4" s="39">
        <v>60</v>
      </c>
      <c r="U4" s="5" t="s">
        <v>48</v>
      </c>
      <c r="V4" t="s">
        <v>137</v>
      </c>
      <c r="X4" t="s">
        <v>51</v>
      </c>
      <c r="Y4">
        <v>0</v>
      </c>
      <c r="Z4">
        <v>1</v>
      </c>
      <c r="AA4" s="6">
        <v>40007</v>
      </c>
      <c r="AB4" t="s">
        <v>52</v>
      </c>
      <c r="AC4" s="7" t="s">
        <v>53</v>
      </c>
      <c r="AD4" t="s">
        <v>69</v>
      </c>
    </row>
    <row r="5" spans="1:64" ht="15.75" thickTop="1" x14ac:dyDescent="0.25">
      <c r="A5" s="8"/>
      <c r="B5" s="8"/>
      <c r="C5" s="26" t="s">
        <v>157</v>
      </c>
      <c r="D5" s="16">
        <f>+SUM(D2:D4)</f>
        <v>1676000</v>
      </c>
      <c r="E5" s="8"/>
      <c r="F5" s="8"/>
      <c r="G5" s="16">
        <f>+SUM(G2:G4)</f>
        <v>1676000</v>
      </c>
      <c r="H5" s="16">
        <f>+SUM(H2:H4)</f>
        <v>421200</v>
      </c>
      <c r="I5" s="21"/>
      <c r="J5" s="16">
        <f>+SUM(J2:J4)</f>
        <v>1212929</v>
      </c>
      <c r="K5" s="16">
        <f>+SUM(K2:K4)</f>
        <v>1336844</v>
      </c>
      <c r="L5" s="16">
        <f>+SUM(L2:L4)</f>
        <v>985774</v>
      </c>
      <c r="M5" s="31">
        <f>+SUM(M2:M4)</f>
        <v>438</v>
      </c>
      <c r="N5" s="35"/>
      <c r="O5" s="40">
        <f>+SUM(O2:O4)</f>
        <v>6.0860000000000003</v>
      </c>
      <c r="P5" s="40">
        <f>+SUM(P2:P4)</f>
        <v>8.99</v>
      </c>
      <c r="Q5" s="16"/>
      <c r="R5" s="16"/>
      <c r="S5" s="45"/>
      <c r="T5" s="40"/>
      <c r="U5" s="9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</row>
    <row r="6" spans="1:64" x14ac:dyDescent="0.25">
      <c r="A6" s="10"/>
      <c r="B6" s="10"/>
      <c r="C6" s="27"/>
      <c r="D6" s="17"/>
      <c r="E6" s="10"/>
      <c r="F6" s="10"/>
      <c r="G6" s="17"/>
      <c r="H6" s="17" t="s">
        <v>158</v>
      </c>
      <c r="I6" s="22">
        <f>H5/G5*100</f>
        <v>25.131264916467781</v>
      </c>
      <c r="J6" s="17"/>
      <c r="K6" s="17"/>
      <c r="L6" s="17" t="s">
        <v>159</v>
      </c>
      <c r="M6" s="32"/>
      <c r="N6" s="36"/>
      <c r="O6" s="41" t="s">
        <v>159</v>
      </c>
      <c r="P6" s="41"/>
      <c r="Q6" s="17"/>
      <c r="R6" s="17" t="s">
        <v>159</v>
      </c>
      <c r="S6" s="46"/>
      <c r="T6" s="41"/>
      <c r="U6" s="11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</row>
    <row r="7" spans="1:64" x14ac:dyDescent="0.25">
      <c r="A7" s="12"/>
      <c r="B7" s="12"/>
      <c r="C7" s="28"/>
      <c r="D7" s="18"/>
      <c r="E7" s="12"/>
      <c r="F7" s="12"/>
      <c r="G7" s="18"/>
      <c r="H7" s="18" t="s">
        <v>160</v>
      </c>
      <c r="I7" s="23">
        <f>STDEV(I2:I4)</f>
        <v>5.193907773821218</v>
      </c>
      <c r="J7" s="18"/>
      <c r="K7" s="18"/>
      <c r="L7" s="18" t="s">
        <v>161</v>
      </c>
      <c r="M7" s="48">
        <f>K5/M5</f>
        <v>3052.1552511415525</v>
      </c>
      <c r="N7" s="37"/>
      <c r="O7" s="42" t="s">
        <v>162</v>
      </c>
      <c r="P7" s="42">
        <f>K5/O5</f>
        <v>219658.88925402562</v>
      </c>
      <c r="Q7" s="18"/>
      <c r="R7" s="18" t="s">
        <v>163</v>
      </c>
      <c r="S7" s="47">
        <f>K5/O5/43560</f>
        <v>5.0426742252990273</v>
      </c>
      <c r="T7" s="42"/>
      <c r="U7" s="13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9" spans="1:64" x14ac:dyDescent="0.25">
      <c r="L9" s="49" t="s">
        <v>164</v>
      </c>
      <c r="M9" s="30">
        <v>3050</v>
      </c>
    </row>
    <row r="11" spans="1:64" x14ac:dyDescent="0.25">
      <c r="M11" s="50">
        <f>(M9-2600)/2600</f>
        <v>0.17307692307692307</v>
      </c>
    </row>
  </sheetData>
  <conditionalFormatting sqref="A2:AR2 A4:AR4">
    <cfRule type="expression" dxfId="21" priority="3" stopIfTrue="1">
      <formula>MOD(ROW(),4)&gt;1</formula>
    </cfRule>
    <cfRule type="expression" dxfId="20" priority="4" stopIfTrue="1">
      <formula>MOD(ROW(),4)&lt;2</formula>
    </cfRule>
  </conditionalFormatting>
  <conditionalFormatting sqref="A3:AR3">
    <cfRule type="expression" dxfId="1" priority="1" stopIfTrue="1">
      <formula>MOD(ROW(),4)&gt;1</formula>
    </cfRule>
    <cfRule type="expression" dxfId="0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22406-1083-4CBC-8B02-4938BC351949}">
  <dimension ref="A1:BL10"/>
  <sheetViews>
    <sheetView workbookViewId="0">
      <selection activeCell="M19" sqref="M19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119</v>
      </c>
      <c r="B2" t="s">
        <v>120</v>
      </c>
      <c r="C2" s="25">
        <v>44917</v>
      </c>
      <c r="D2" s="15">
        <v>1100000</v>
      </c>
      <c r="E2" t="s">
        <v>46</v>
      </c>
      <c r="F2" t="s">
        <v>47</v>
      </c>
      <c r="G2" s="15">
        <v>1100000</v>
      </c>
      <c r="H2" s="15">
        <v>431319</v>
      </c>
      <c r="I2" s="20">
        <f>H2/G2*100</f>
        <v>39.210818181818183</v>
      </c>
      <c r="J2" s="15">
        <v>1139443</v>
      </c>
      <c r="K2" s="15">
        <f>G2-923513</f>
        <v>176487</v>
      </c>
      <c r="L2" s="15">
        <v>215930</v>
      </c>
      <c r="M2" s="30">
        <v>143</v>
      </c>
      <c r="N2" s="34">
        <v>167</v>
      </c>
      <c r="O2" s="39">
        <v>0.54800000000000004</v>
      </c>
      <c r="P2" s="39">
        <v>0.54800000000000004</v>
      </c>
      <c r="Q2" s="15">
        <f>K2/M2</f>
        <v>1234.1748251748252</v>
      </c>
      <c r="R2" s="15">
        <f>K2/O2</f>
        <v>322056.56934306567</v>
      </c>
      <c r="S2" s="44">
        <f>K2/O2/43560</f>
        <v>7.3934015000703779</v>
      </c>
      <c r="T2" s="39">
        <v>143</v>
      </c>
      <c r="U2" s="5" t="s">
        <v>48</v>
      </c>
      <c r="V2" t="s">
        <v>121</v>
      </c>
      <c r="X2" t="s">
        <v>51</v>
      </c>
      <c r="Y2">
        <v>0</v>
      </c>
      <c r="Z2">
        <v>1</v>
      </c>
      <c r="AA2" s="6">
        <v>44938</v>
      </c>
      <c r="AB2" t="s">
        <v>52</v>
      </c>
      <c r="AC2" s="7" t="s">
        <v>53</v>
      </c>
      <c r="AD2" t="s">
        <v>122</v>
      </c>
    </row>
    <row r="3" spans="1:64" ht="15.75" thickBot="1" x14ac:dyDescent="0.3">
      <c r="A3" t="s">
        <v>132</v>
      </c>
      <c r="B3" t="s">
        <v>133</v>
      </c>
      <c r="C3" s="25">
        <v>44728</v>
      </c>
      <c r="D3" s="15">
        <v>475000</v>
      </c>
      <c r="E3" t="s">
        <v>46</v>
      </c>
      <c r="F3" t="s">
        <v>47</v>
      </c>
      <c r="G3" s="15">
        <v>475000</v>
      </c>
      <c r="H3" s="15">
        <v>92500</v>
      </c>
      <c r="I3" s="20">
        <f>H3/G3*100</f>
        <v>19.473684210526315</v>
      </c>
      <c r="J3" s="15">
        <v>453633</v>
      </c>
      <c r="K3" s="15">
        <f>G3-0</f>
        <v>475000</v>
      </c>
      <c r="L3" s="15">
        <v>453633</v>
      </c>
      <c r="M3" s="30">
        <v>250</v>
      </c>
      <c r="N3" s="34">
        <v>0</v>
      </c>
      <c r="O3" s="39">
        <v>2.7</v>
      </c>
      <c r="P3" s="39">
        <v>2.7</v>
      </c>
      <c r="Q3" s="15">
        <f>K3/M3</f>
        <v>1900</v>
      </c>
      <c r="R3" s="15">
        <f>K3/O3</f>
        <v>175925.92592592593</v>
      </c>
      <c r="S3" s="44">
        <f>K3/O3/43560</f>
        <v>4.0387035336530284</v>
      </c>
      <c r="T3" s="39">
        <v>250</v>
      </c>
      <c r="U3" s="5" t="s">
        <v>48</v>
      </c>
      <c r="V3" t="s">
        <v>134</v>
      </c>
      <c r="X3" t="s">
        <v>51</v>
      </c>
      <c r="Y3">
        <v>0</v>
      </c>
      <c r="Z3">
        <v>0</v>
      </c>
      <c r="AA3" s="6">
        <v>42656</v>
      </c>
      <c r="AB3" t="s">
        <v>67</v>
      </c>
      <c r="AC3" s="7" t="s">
        <v>68</v>
      </c>
      <c r="AD3" t="s">
        <v>122</v>
      </c>
    </row>
    <row r="4" spans="1:64" ht="15.75" thickTop="1" x14ac:dyDescent="0.25">
      <c r="A4" s="8"/>
      <c r="B4" s="8"/>
      <c r="C4" s="26" t="s">
        <v>157</v>
      </c>
      <c r="D4" s="16">
        <f>+SUM(D2:D3)</f>
        <v>1575000</v>
      </c>
      <c r="E4" s="8"/>
      <c r="F4" s="8"/>
      <c r="G4" s="16">
        <f>+SUM(G2:G3)</f>
        <v>1575000</v>
      </c>
      <c r="H4" s="16">
        <f>+SUM(H2:H3)</f>
        <v>523819</v>
      </c>
      <c r="I4" s="21"/>
      <c r="J4" s="16">
        <f>+SUM(J2:J3)</f>
        <v>1593076</v>
      </c>
      <c r="K4" s="16">
        <f>+SUM(K2:K3)</f>
        <v>651487</v>
      </c>
      <c r="L4" s="16">
        <f>+SUM(L2:L3)</f>
        <v>669563</v>
      </c>
      <c r="M4" s="31">
        <f>+SUM(M2:M3)</f>
        <v>393</v>
      </c>
      <c r="N4" s="35"/>
      <c r="O4" s="40">
        <f>+SUM(O2:O3)</f>
        <v>3.2480000000000002</v>
      </c>
      <c r="P4" s="40">
        <f>+SUM(P2:P3)</f>
        <v>3.2480000000000002</v>
      </c>
      <c r="Q4" s="16"/>
      <c r="R4" s="16"/>
      <c r="S4" s="45"/>
      <c r="T4" s="40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</row>
    <row r="5" spans="1:64" x14ac:dyDescent="0.25">
      <c r="A5" s="10"/>
      <c r="B5" s="10"/>
      <c r="C5" s="27"/>
      <c r="D5" s="17"/>
      <c r="E5" s="10"/>
      <c r="F5" s="10"/>
      <c r="G5" s="17"/>
      <c r="H5" s="17" t="s">
        <v>158</v>
      </c>
      <c r="I5" s="22">
        <f>H4/G4*100</f>
        <v>33.258349206349209</v>
      </c>
      <c r="J5" s="17"/>
      <c r="K5" s="17"/>
      <c r="L5" s="17" t="s">
        <v>159</v>
      </c>
      <c r="M5" s="32"/>
      <c r="N5" s="36"/>
      <c r="O5" s="41" t="s">
        <v>159</v>
      </c>
      <c r="P5" s="41"/>
      <c r="Q5" s="17"/>
      <c r="R5" s="17" t="s">
        <v>159</v>
      </c>
      <c r="S5" s="46"/>
      <c r="T5" s="41"/>
      <c r="U5" s="11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</row>
    <row r="6" spans="1:64" x14ac:dyDescent="0.25">
      <c r="A6" s="12"/>
      <c r="B6" s="12"/>
      <c r="C6" s="28"/>
      <c r="D6" s="18"/>
      <c r="E6" s="12"/>
      <c r="F6" s="12"/>
      <c r="G6" s="18"/>
      <c r="H6" s="18" t="s">
        <v>160</v>
      </c>
      <c r="I6" s="23">
        <f>STDEV(I2:I3)</f>
        <v>13.956261272287845</v>
      </c>
      <c r="J6" s="18"/>
      <c r="K6" s="18"/>
      <c r="L6" s="18" t="s">
        <v>161</v>
      </c>
      <c r="M6" s="48">
        <f>K4/M4</f>
        <v>1657.7277353689567</v>
      </c>
      <c r="N6" s="37"/>
      <c r="O6" s="42" t="s">
        <v>162</v>
      </c>
      <c r="P6" s="42">
        <f>K4/O4</f>
        <v>200580.97290640391</v>
      </c>
      <c r="Q6" s="18"/>
      <c r="R6" s="18" t="s">
        <v>163</v>
      </c>
      <c r="S6" s="47">
        <f>K4/O4/43560</f>
        <v>4.6047055304500439</v>
      </c>
      <c r="T6" s="42"/>
      <c r="U6" s="13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</row>
    <row r="8" spans="1:64" x14ac:dyDescent="0.25">
      <c r="L8" s="49" t="s">
        <v>164</v>
      </c>
      <c r="M8" s="30">
        <v>1660</v>
      </c>
    </row>
    <row r="10" spans="1:64" x14ac:dyDescent="0.25">
      <c r="M10" s="50">
        <f>(M8-1510)/1510</f>
        <v>9.9337748344370855E-2</v>
      </c>
    </row>
  </sheetData>
  <conditionalFormatting sqref="A2:AR3">
    <cfRule type="expression" dxfId="19" priority="1" stopIfTrue="1">
      <formula>MOD(ROW(),4)&gt;1</formula>
    </cfRule>
    <cfRule type="expression" dxfId="18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2905F-6596-4C18-AAE0-E1AE573BBEE3}">
  <dimension ref="A1:BL9"/>
  <sheetViews>
    <sheetView workbookViewId="0">
      <selection activeCell="M19" sqref="M19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ht="15.75" thickBot="1" x14ac:dyDescent="0.3">
      <c r="A2" t="s">
        <v>60</v>
      </c>
      <c r="B2" t="s">
        <v>61</v>
      </c>
      <c r="C2" s="25">
        <v>45259</v>
      </c>
      <c r="D2" s="15">
        <v>400000</v>
      </c>
      <c r="E2" t="s">
        <v>46</v>
      </c>
      <c r="F2" t="s">
        <v>47</v>
      </c>
      <c r="G2" s="15">
        <v>400000</v>
      </c>
      <c r="H2" s="15">
        <v>204700</v>
      </c>
      <c r="I2" s="20">
        <f>H2/G2*100</f>
        <v>51.175000000000004</v>
      </c>
      <c r="J2" s="15">
        <v>393043</v>
      </c>
      <c r="K2" s="15">
        <f>G2-278043</f>
        <v>121957</v>
      </c>
      <c r="L2" s="15">
        <v>115000</v>
      </c>
      <c r="M2" s="30">
        <v>100</v>
      </c>
      <c r="N2" s="34">
        <v>250</v>
      </c>
      <c r="O2" s="39">
        <v>0.57399999999999995</v>
      </c>
      <c r="P2" s="39">
        <v>0.57399999999999995</v>
      </c>
      <c r="Q2" s="15">
        <f>K2/M2</f>
        <v>1219.57</v>
      </c>
      <c r="R2" s="15">
        <f>K2/O2</f>
        <v>212468.6411149826</v>
      </c>
      <c r="S2" s="44">
        <f>K2/O2/43560</f>
        <v>4.8776088410234761</v>
      </c>
      <c r="T2" s="39">
        <v>100</v>
      </c>
      <c r="U2" s="5" t="s">
        <v>48</v>
      </c>
      <c r="V2" t="s">
        <v>62</v>
      </c>
      <c r="X2" t="s">
        <v>51</v>
      </c>
      <c r="Y2">
        <v>0</v>
      </c>
      <c r="Z2">
        <v>0</v>
      </c>
      <c r="AA2" s="6">
        <v>45501</v>
      </c>
      <c r="AB2" t="s">
        <v>52</v>
      </c>
      <c r="AC2" s="7" t="s">
        <v>53</v>
      </c>
      <c r="AD2" t="s">
        <v>63</v>
      </c>
    </row>
    <row r="3" spans="1:64" ht="15.75" thickTop="1" x14ac:dyDescent="0.25">
      <c r="A3" s="8"/>
      <c r="B3" s="8"/>
      <c r="C3" s="26" t="s">
        <v>157</v>
      </c>
      <c r="D3" s="16">
        <f>+SUM(D2:D2)</f>
        <v>400000</v>
      </c>
      <c r="E3" s="8"/>
      <c r="F3" s="8"/>
      <c r="G3" s="16">
        <f>+SUM(G2:G2)</f>
        <v>400000</v>
      </c>
      <c r="H3" s="16">
        <f>+SUM(H2:H2)</f>
        <v>204700</v>
      </c>
      <c r="I3" s="21"/>
      <c r="J3" s="16">
        <f>+SUM(J2:J2)</f>
        <v>393043</v>
      </c>
      <c r="K3" s="16">
        <f>+SUM(K2:K2)</f>
        <v>121957</v>
      </c>
      <c r="L3" s="16">
        <f>+SUM(L2:L2)</f>
        <v>115000</v>
      </c>
      <c r="M3" s="31">
        <f>+SUM(M2:M2)</f>
        <v>100</v>
      </c>
      <c r="N3" s="35"/>
      <c r="O3" s="40">
        <f>+SUM(O2:O2)</f>
        <v>0.57399999999999995</v>
      </c>
      <c r="P3" s="40">
        <f>+SUM(P2:P2)</f>
        <v>0.57399999999999995</v>
      </c>
      <c r="Q3" s="16"/>
      <c r="R3" s="16"/>
      <c r="S3" s="45"/>
      <c r="T3" s="40"/>
      <c r="U3" s="9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</row>
    <row r="4" spans="1:64" x14ac:dyDescent="0.25">
      <c r="A4" s="10"/>
      <c r="B4" s="10"/>
      <c r="C4" s="27"/>
      <c r="D4" s="17"/>
      <c r="E4" s="10"/>
      <c r="F4" s="10"/>
      <c r="G4" s="17"/>
      <c r="H4" s="17" t="s">
        <v>158</v>
      </c>
      <c r="I4" s="22">
        <f>H3/G3*100</f>
        <v>51.175000000000004</v>
      </c>
      <c r="J4" s="17"/>
      <c r="K4" s="17"/>
      <c r="L4" s="17" t="s">
        <v>159</v>
      </c>
      <c r="M4" s="32"/>
      <c r="N4" s="36"/>
      <c r="O4" s="41" t="s">
        <v>159</v>
      </c>
      <c r="P4" s="41"/>
      <c r="Q4" s="17"/>
      <c r="R4" s="17" t="s">
        <v>159</v>
      </c>
      <c r="S4" s="46"/>
      <c r="T4" s="41"/>
      <c r="U4" s="11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</row>
    <row r="5" spans="1:64" x14ac:dyDescent="0.25">
      <c r="A5" s="12"/>
      <c r="B5" s="12"/>
      <c r="C5" s="28"/>
      <c r="D5" s="18"/>
      <c r="E5" s="12"/>
      <c r="F5" s="12"/>
      <c r="G5" s="18"/>
      <c r="H5" s="18" t="s">
        <v>160</v>
      </c>
      <c r="I5" s="23" t="e">
        <f>STDEV(I2:I2)</f>
        <v>#DIV/0!</v>
      </c>
      <c r="J5" s="18"/>
      <c r="K5" s="18"/>
      <c r="L5" s="18" t="s">
        <v>161</v>
      </c>
      <c r="M5" s="48">
        <f>K3/M3</f>
        <v>1219.57</v>
      </c>
      <c r="N5" s="37"/>
      <c r="O5" s="42" t="s">
        <v>162</v>
      </c>
      <c r="P5" s="42">
        <f>K3/O3</f>
        <v>212468.6411149826</v>
      </c>
      <c r="Q5" s="18"/>
      <c r="R5" s="18" t="s">
        <v>163</v>
      </c>
      <c r="S5" s="47">
        <f>K3/O3/43560</f>
        <v>4.8776088410234761</v>
      </c>
      <c r="T5" s="42"/>
      <c r="U5" s="13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</row>
    <row r="7" spans="1:64" x14ac:dyDescent="0.25">
      <c r="L7" s="49" t="s">
        <v>164</v>
      </c>
      <c r="M7" s="30">
        <v>1220</v>
      </c>
    </row>
    <row r="9" spans="1:64" x14ac:dyDescent="0.25">
      <c r="M9" s="50">
        <f>(M7-1150)/1150</f>
        <v>6.0869565217391307E-2</v>
      </c>
    </row>
  </sheetData>
  <conditionalFormatting sqref="A2:AR2">
    <cfRule type="expression" dxfId="17" priority="1" stopIfTrue="1">
      <formula>MOD(ROW(),4)&gt;1</formula>
    </cfRule>
    <cfRule type="expression" dxfId="16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4FFEA-6B8A-47B7-927C-1FA7C5A5ECA3}">
  <sheetPr>
    <tabColor rgb="FFFF0000"/>
  </sheetPr>
  <dimension ref="A1:BL20"/>
  <sheetViews>
    <sheetView topLeftCell="V1" workbookViewId="0">
      <selection activeCell="X17" sqref="X17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ht="15.75" thickBot="1" x14ac:dyDescent="0.3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ht="15.75" thickTop="1" x14ac:dyDescent="0.25">
      <c r="A2" s="8"/>
      <c r="B2" s="8"/>
      <c r="C2" s="26" t="s">
        <v>157</v>
      </c>
      <c r="D2" s="16" t="e">
        <f>+SUM(#REF!)</f>
        <v>#REF!</v>
      </c>
      <c r="E2" s="8"/>
      <c r="F2" s="8"/>
      <c r="G2" s="16" t="e">
        <f>+SUM(#REF!)</f>
        <v>#REF!</v>
      </c>
      <c r="H2" s="16" t="e">
        <f>+SUM(#REF!)</f>
        <v>#REF!</v>
      </c>
      <c r="I2" s="21"/>
      <c r="J2" s="16" t="e">
        <f>+SUM(#REF!)</f>
        <v>#REF!</v>
      </c>
      <c r="K2" s="16" t="e">
        <f>+SUM(#REF!)</f>
        <v>#REF!</v>
      </c>
      <c r="L2" s="16" t="e">
        <f>+SUM(#REF!)</f>
        <v>#REF!</v>
      </c>
      <c r="M2" s="31" t="e">
        <f>+SUM(#REF!)</f>
        <v>#REF!</v>
      </c>
      <c r="N2" s="35"/>
      <c r="O2" s="40" t="e">
        <f>+SUM(#REF!)</f>
        <v>#REF!</v>
      </c>
      <c r="P2" s="40" t="e">
        <f>+SUM(#REF!)</f>
        <v>#REF!</v>
      </c>
      <c r="Q2" s="16"/>
      <c r="R2" s="16"/>
      <c r="S2" s="45"/>
      <c r="T2" s="40"/>
      <c r="U2" s="9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</row>
    <row r="3" spans="1:64" x14ac:dyDescent="0.25">
      <c r="A3" s="10"/>
      <c r="B3" s="10"/>
      <c r="C3" s="27"/>
      <c r="D3" s="17"/>
      <c r="E3" s="10"/>
      <c r="F3" s="10"/>
      <c r="G3" s="17"/>
      <c r="H3" s="17" t="s">
        <v>158</v>
      </c>
      <c r="I3" s="22" t="e">
        <f>H2/G2*100</f>
        <v>#REF!</v>
      </c>
      <c r="J3" s="17"/>
      <c r="K3" s="17"/>
      <c r="L3" s="17" t="s">
        <v>159</v>
      </c>
      <c r="M3" s="32"/>
      <c r="N3" s="36"/>
      <c r="O3" s="41" t="s">
        <v>159</v>
      </c>
      <c r="P3" s="41"/>
      <c r="Q3" s="17"/>
      <c r="R3" s="17" t="s">
        <v>159</v>
      </c>
      <c r="S3" s="46"/>
      <c r="T3" s="41"/>
      <c r="U3" s="11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</row>
    <row r="4" spans="1:64" x14ac:dyDescent="0.25">
      <c r="A4" s="12"/>
      <c r="B4" s="12"/>
      <c r="C4" s="28"/>
      <c r="D4" s="18"/>
      <c r="E4" s="12"/>
      <c r="F4" s="12"/>
      <c r="G4" s="18"/>
      <c r="H4" s="18" t="s">
        <v>160</v>
      </c>
      <c r="I4" s="23" t="e">
        <f>STDEV(#REF!)</f>
        <v>#REF!</v>
      </c>
      <c r="J4" s="18"/>
      <c r="K4" s="18"/>
      <c r="L4" s="18" t="s">
        <v>161</v>
      </c>
      <c r="M4" s="48" t="e">
        <f>K2/M2</f>
        <v>#REF!</v>
      </c>
      <c r="N4" s="37"/>
      <c r="O4" s="42" t="s">
        <v>162</v>
      </c>
      <c r="P4" s="42" t="e">
        <f>K2/O2</f>
        <v>#REF!</v>
      </c>
      <c r="Q4" s="18"/>
      <c r="R4" s="18" t="s">
        <v>163</v>
      </c>
      <c r="S4" s="47" t="e">
        <f>K2/O2/43560</f>
        <v>#REF!</v>
      </c>
      <c r="T4" s="42"/>
      <c r="U4" s="13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</row>
    <row r="7" spans="1:64" x14ac:dyDescent="0.25">
      <c r="AE7" t="s">
        <v>177</v>
      </c>
      <c r="AG7">
        <v>1050</v>
      </c>
    </row>
    <row r="8" spans="1:64" x14ac:dyDescent="0.25">
      <c r="X8" t="s">
        <v>174</v>
      </c>
      <c r="AE8" s="52" t="s">
        <v>178</v>
      </c>
      <c r="AF8" s="52"/>
      <c r="AG8" s="52">
        <f>AG7*1.1</f>
        <v>1155</v>
      </c>
    </row>
    <row r="9" spans="1:64" x14ac:dyDescent="0.25">
      <c r="W9" t="s">
        <v>165</v>
      </c>
      <c r="X9">
        <v>17.309999999999999</v>
      </c>
    </row>
    <row r="10" spans="1:64" x14ac:dyDescent="0.25">
      <c r="W10" t="s">
        <v>166</v>
      </c>
      <c r="X10">
        <v>9.93</v>
      </c>
    </row>
    <row r="11" spans="1:64" x14ac:dyDescent="0.25">
      <c r="W11" t="s">
        <v>167</v>
      </c>
      <c r="X11">
        <v>6.09</v>
      </c>
    </row>
    <row r="12" spans="1:64" x14ac:dyDescent="0.25">
      <c r="W12" t="s">
        <v>168</v>
      </c>
      <c r="X12">
        <v>6.1</v>
      </c>
    </row>
    <row r="13" spans="1:64" x14ac:dyDescent="0.25">
      <c r="W13" t="s">
        <v>169</v>
      </c>
      <c r="X13">
        <v>-4.71</v>
      </c>
    </row>
    <row r="14" spans="1:64" x14ac:dyDescent="0.25">
      <c r="W14" t="s">
        <v>170</v>
      </c>
      <c r="X14">
        <v>42.47</v>
      </c>
    </row>
    <row r="15" spans="1:64" x14ac:dyDescent="0.25">
      <c r="W15" t="s">
        <v>171</v>
      </c>
      <c r="X15">
        <v>23.97</v>
      </c>
    </row>
    <row r="16" spans="1:64" x14ac:dyDescent="0.25">
      <c r="W16" t="s">
        <v>172</v>
      </c>
      <c r="X16">
        <v>17.89</v>
      </c>
    </row>
    <row r="17" spans="23:24" x14ac:dyDescent="0.25">
      <c r="W17" t="s">
        <v>173</v>
      </c>
      <c r="X17">
        <v>-3.95</v>
      </c>
    </row>
    <row r="19" spans="23:24" x14ac:dyDescent="0.25">
      <c r="W19" t="s">
        <v>175</v>
      </c>
      <c r="X19" s="51">
        <f>AVERAGE(X9:X18)</f>
        <v>12.788888888888888</v>
      </c>
    </row>
    <row r="20" spans="23:24" x14ac:dyDescent="0.25">
      <c r="W20" t="s">
        <v>176</v>
      </c>
      <c r="X20">
        <f>MEDIAN(X9:X17)</f>
        <v>9.93</v>
      </c>
    </row>
  </sheetData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0833B-76BF-4C27-A7F8-98B5320BA85D}">
  <dimension ref="A1:BL12"/>
  <sheetViews>
    <sheetView workbookViewId="0">
      <selection activeCell="N15" sqref="N15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81</v>
      </c>
      <c r="B2" t="s">
        <v>82</v>
      </c>
      <c r="C2" s="25">
        <v>44904</v>
      </c>
      <c r="D2" s="15">
        <v>1600000</v>
      </c>
      <c r="E2" t="s">
        <v>46</v>
      </c>
      <c r="F2" t="s">
        <v>47</v>
      </c>
      <c r="G2" s="15">
        <v>1600000</v>
      </c>
      <c r="H2" s="15">
        <v>518600</v>
      </c>
      <c r="I2" s="20">
        <f>H2/G2*100</f>
        <v>32.412500000000001</v>
      </c>
      <c r="J2" s="15">
        <v>1573207</v>
      </c>
      <c r="K2" s="15">
        <f>G2-974992</f>
        <v>625008</v>
      </c>
      <c r="L2" s="15">
        <v>598215</v>
      </c>
      <c r="M2" s="30">
        <v>729.53</v>
      </c>
      <c r="N2" s="34">
        <v>0</v>
      </c>
      <c r="O2" s="39">
        <v>8.8000000000000007</v>
      </c>
      <c r="P2" s="39">
        <v>8.8000000000000007</v>
      </c>
      <c r="Q2" s="15">
        <f>K2/M2</f>
        <v>856.7269337792826</v>
      </c>
      <c r="R2" s="15">
        <f>K2/O2</f>
        <v>71023.636363636353</v>
      </c>
      <c r="S2" s="44">
        <f>K2/O2/43560</f>
        <v>1.6304783370899072</v>
      </c>
      <c r="T2" s="39">
        <v>729.53</v>
      </c>
      <c r="U2" s="5" t="s">
        <v>48</v>
      </c>
      <c r="V2" t="s">
        <v>83</v>
      </c>
      <c r="X2" t="s">
        <v>51</v>
      </c>
      <c r="Y2">
        <v>0</v>
      </c>
      <c r="Z2">
        <v>1</v>
      </c>
      <c r="AA2" s="6">
        <v>44944</v>
      </c>
      <c r="AB2" t="s">
        <v>52</v>
      </c>
      <c r="AC2" s="7" t="s">
        <v>53</v>
      </c>
      <c r="AD2" t="s">
        <v>84</v>
      </c>
    </row>
    <row r="3" spans="1:64" x14ac:dyDescent="0.25">
      <c r="A3" t="s">
        <v>85</v>
      </c>
      <c r="B3" t="s">
        <v>86</v>
      </c>
      <c r="C3" s="25">
        <v>44844</v>
      </c>
      <c r="D3" s="15">
        <v>1100000</v>
      </c>
      <c r="E3" t="s">
        <v>46</v>
      </c>
      <c r="F3" t="s">
        <v>47</v>
      </c>
      <c r="G3" s="15">
        <v>1100000</v>
      </c>
      <c r="H3" s="15">
        <v>493800</v>
      </c>
      <c r="I3" s="20">
        <f>H3/G3*100</f>
        <v>44.890909090909091</v>
      </c>
      <c r="J3" s="15">
        <v>1188409</v>
      </c>
      <c r="K3" s="15">
        <f>G3-796128-17179</f>
        <v>286693</v>
      </c>
      <c r="L3" s="15">
        <v>315390</v>
      </c>
      <c r="M3" s="30">
        <v>549.46</v>
      </c>
      <c r="N3" s="34">
        <v>0</v>
      </c>
      <c r="O3" s="39">
        <v>5.76</v>
      </c>
      <c r="P3" s="39">
        <v>5.76</v>
      </c>
      <c r="Q3" s="15">
        <f>K3/M3</f>
        <v>521.77228551668907</v>
      </c>
      <c r="R3" s="15">
        <f>K3/O3</f>
        <v>49773.090277777781</v>
      </c>
      <c r="S3" s="44">
        <f>K3/O3/43560</f>
        <v>1.1426329264870931</v>
      </c>
      <c r="T3" s="39">
        <v>549.46</v>
      </c>
      <c r="U3" s="5" t="s">
        <v>48</v>
      </c>
      <c r="V3" t="s">
        <v>87</v>
      </c>
      <c r="X3" t="s">
        <v>51</v>
      </c>
      <c r="Y3">
        <v>0</v>
      </c>
      <c r="Z3">
        <v>1</v>
      </c>
      <c r="AA3" s="6">
        <v>40021</v>
      </c>
      <c r="AB3" t="s">
        <v>52</v>
      </c>
      <c r="AC3" s="7" t="s">
        <v>53</v>
      </c>
      <c r="AD3" t="s">
        <v>84</v>
      </c>
    </row>
    <row r="4" spans="1:64" x14ac:dyDescent="0.25">
      <c r="A4" t="s">
        <v>138</v>
      </c>
      <c r="B4" t="s">
        <v>139</v>
      </c>
      <c r="C4" s="25">
        <v>45350</v>
      </c>
      <c r="D4" s="15">
        <v>915000</v>
      </c>
      <c r="E4" t="s">
        <v>46</v>
      </c>
      <c r="F4" t="s">
        <v>47</v>
      </c>
      <c r="G4" s="15">
        <v>915000</v>
      </c>
      <c r="H4" s="15">
        <v>283500</v>
      </c>
      <c r="I4" s="20">
        <f>H4/G4*100</f>
        <v>30.983606557377048</v>
      </c>
      <c r="J4" s="15">
        <v>752866</v>
      </c>
      <c r="K4" s="15">
        <f>G4-651186</f>
        <v>263814</v>
      </c>
      <c r="L4" s="15">
        <v>101680</v>
      </c>
      <c r="M4" s="30">
        <v>124</v>
      </c>
      <c r="N4" s="34">
        <v>0</v>
      </c>
      <c r="O4" s="39">
        <v>1.31</v>
      </c>
      <c r="P4" s="39">
        <v>1.31</v>
      </c>
      <c r="Q4" s="15">
        <f>K4/M4</f>
        <v>2127.5322580645161</v>
      </c>
      <c r="R4" s="15">
        <f>K4/O4</f>
        <v>201384.73282442748</v>
      </c>
      <c r="S4" s="44">
        <f>K4/O4/43560</f>
        <v>4.6231573192017326</v>
      </c>
      <c r="T4" s="39">
        <v>124</v>
      </c>
      <c r="U4" s="5" t="s">
        <v>48</v>
      </c>
      <c r="V4" t="s">
        <v>140</v>
      </c>
      <c r="X4" t="s">
        <v>51</v>
      </c>
      <c r="Y4">
        <v>0</v>
      </c>
      <c r="Z4">
        <v>1</v>
      </c>
      <c r="AA4" s="6">
        <v>45489</v>
      </c>
      <c r="AB4" t="s">
        <v>52</v>
      </c>
      <c r="AC4" s="7" t="s">
        <v>53</v>
      </c>
      <c r="AD4" t="s">
        <v>84</v>
      </c>
    </row>
    <row r="5" spans="1:64" ht="15.75" thickBot="1" x14ac:dyDescent="0.3">
      <c r="A5" t="s">
        <v>141</v>
      </c>
      <c r="B5" t="s">
        <v>142</v>
      </c>
      <c r="C5" s="25">
        <v>45322</v>
      </c>
      <c r="D5" s="15">
        <v>765000</v>
      </c>
      <c r="E5" t="s">
        <v>46</v>
      </c>
      <c r="F5" t="s">
        <v>47</v>
      </c>
      <c r="G5" s="15">
        <v>765000</v>
      </c>
      <c r="H5" s="15">
        <v>286100</v>
      </c>
      <c r="I5" s="20">
        <f>H5/G5*100</f>
        <v>37.398692810457518</v>
      </c>
      <c r="J5" s="15">
        <v>657325</v>
      </c>
      <c r="K5" s="15">
        <f>G5-561475</f>
        <v>203525</v>
      </c>
      <c r="L5" s="15">
        <v>95850</v>
      </c>
      <c r="M5" s="30">
        <v>180</v>
      </c>
      <c r="N5" s="34">
        <v>0</v>
      </c>
      <c r="O5" s="39">
        <v>1.016</v>
      </c>
      <c r="P5" s="39">
        <v>1.016</v>
      </c>
      <c r="Q5" s="15">
        <f>K5/M5</f>
        <v>1130.6944444444443</v>
      </c>
      <c r="R5" s="15">
        <f>K5/O5</f>
        <v>200319.88188976378</v>
      </c>
      <c r="S5" s="44">
        <f>K5/O5/43560</f>
        <v>4.5987117054583058</v>
      </c>
      <c r="T5" s="39">
        <v>180</v>
      </c>
      <c r="U5" s="5" t="s">
        <v>48</v>
      </c>
      <c r="V5" t="s">
        <v>143</v>
      </c>
      <c r="X5" t="s">
        <v>51</v>
      </c>
      <c r="Y5">
        <v>0</v>
      </c>
      <c r="Z5">
        <v>1</v>
      </c>
      <c r="AA5" s="6">
        <v>44939</v>
      </c>
      <c r="AB5" t="s">
        <v>52</v>
      </c>
      <c r="AC5" s="7" t="s">
        <v>53</v>
      </c>
      <c r="AD5" t="s">
        <v>84</v>
      </c>
      <c r="AE5" t="s">
        <v>59</v>
      </c>
    </row>
    <row r="6" spans="1:64" ht="15.75" thickTop="1" x14ac:dyDescent="0.25">
      <c r="A6" s="8"/>
      <c r="B6" s="8"/>
      <c r="C6" s="26" t="s">
        <v>157</v>
      </c>
      <c r="D6" s="16">
        <f>+SUM(D2:D5)</f>
        <v>4380000</v>
      </c>
      <c r="E6" s="8"/>
      <c r="F6" s="8"/>
      <c r="G6" s="16">
        <f>+SUM(G2:G5)</f>
        <v>4380000</v>
      </c>
      <c r="H6" s="16">
        <f>+SUM(H2:H5)</f>
        <v>1582000</v>
      </c>
      <c r="I6" s="21"/>
      <c r="J6" s="16">
        <f>+SUM(J2:J5)</f>
        <v>4171807</v>
      </c>
      <c r="K6" s="16">
        <f>+SUM(K2:K5)</f>
        <v>1379040</v>
      </c>
      <c r="L6" s="16">
        <f>+SUM(L2:L5)</f>
        <v>1111135</v>
      </c>
      <c r="M6" s="31">
        <f>+SUM(M2:M5)</f>
        <v>1582.99</v>
      </c>
      <c r="N6" s="35"/>
      <c r="O6" s="40">
        <f>+SUM(O2:O5)</f>
        <v>16.886000000000003</v>
      </c>
      <c r="P6" s="40">
        <f>+SUM(P2:P5)</f>
        <v>16.886000000000003</v>
      </c>
      <c r="Q6" s="16"/>
      <c r="R6" s="16"/>
      <c r="S6" s="45"/>
      <c r="T6" s="40"/>
      <c r="U6" s="9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</row>
    <row r="7" spans="1:64" x14ac:dyDescent="0.25">
      <c r="A7" s="10"/>
      <c r="B7" s="10"/>
      <c r="C7" s="27"/>
      <c r="D7" s="17"/>
      <c r="E7" s="10"/>
      <c r="F7" s="10"/>
      <c r="G7" s="17"/>
      <c r="H7" s="17" t="s">
        <v>158</v>
      </c>
      <c r="I7" s="22">
        <f>H6/G6*100</f>
        <v>36.118721461187214</v>
      </c>
      <c r="J7" s="17"/>
      <c r="K7" s="17"/>
      <c r="L7" s="17" t="s">
        <v>159</v>
      </c>
      <c r="M7" s="32"/>
      <c r="N7" s="36"/>
      <c r="O7" s="41" t="s">
        <v>159</v>
      </c>
      <c r="P7" s="41"/>
      <c r="Q7" s="17"/>
      <c r="R7" s="17" t="s">
        <v>159</v>
      </c>
      <c r="S7" s="46"/>
      <c r="T7" s="41"/>
      <c r="U7" s="11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</row>
    <row r="8" spans="1:64" x14ac:dyDescent="0.25">
      <c r="A8" s="12"/>
      <c r="B8" s="12"/>
      <c r="C8" s="28"/>
      <c r="D8" s="18"/>
      <c r="E8" s="12"/>
      <c r="F8" s="12"/>
      <c r="G8" s="18"/>
      <c r="H8" s="18" t="s">
        <v>160</v>
      </c>
      <c r="I8" s="23">
        <f>STDEV(I2:I5)</f>
        <v>6.28035461339715</v>
      </c>
      <c r="J8" s="18"/>
      <c r="K8" s="18"/>
      <c r="L8" s="18" t="s">
        <v>161</v>
      </c>
      <c r="M8" s="48">
        <f>K6/M6</f>
        <v>871.16153608045533</v>
      </c>
      <c r="N8" s="37"/>
      <c r="O8" s="42" t="s">
        <v>162</v>
      </c>
      <c r="P8" s="42">
        <f>K6/O6</f>
        <v>81667.653677602735</v>
      </c>
      <c r="Q8" s="18"/>
      <c r="R8" s="18" t="s">
        <v>163</v>
      </c>
      <c r="S8" s="47">
        <f>K6/O6/43560</f>
        <v>1.8748313516437727</v>
      </c>
      <c r="T8" s="42"/>
      <c r="U8" s="13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</row>
    <row r="10" spans="1:64" x14ac:dyDescent="0.25">
      <c r="L10" s="49" t="s">
        <v>164</v>
      </c>
      <c r="M10" s="30">
        <v>870</v>
      </c>
    </row>
    <row r="12" spans="1:64" x14ac:dyDescent="0.25">
      <c r="M12" s="50">
        <f>(M10-820)/820</f>
        <v>6.097560975609756E-2</v>
      </c>
    </row>
  </sheetData>
  <conditionalFormatting sqref="A2:AR5">
    <cfRule type="expression" dxfId="15" priority="1" stopIfTrue="1">
      <formula>MOD(ROW(),4)&gt;1</formula>
    </cfRule>
    <cfRule type="expression" dxfId="14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B9AFE-5560-4683-8EF3-2A9EF3AB1589}">
  <dimension ref="A1:BL11"/>
  <sheetViews>
    <sheetView tabSelected="1" workbookViewId="0">
      <selection activeCell="M11" sqref="M11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100</v>
      </c>
      <c r="B2" t="s">
        <v>101</v>
      </c>
      <c r="C2" s="25">
        <v>45351</v>
      </c>
      <c r="D2" s="15">
        <v>200000</v>
      </c>
      <c r="E2" t="s">
        <v>46</v>
      </c>
      <c r="F2" t="s">
        <v>47</v>
      </c>
      <c r="G2" s="15">
        <v>200000</v>
      </c>
      <c r="H2" s="15">
        <v>0</v>
      </c>
      <c r="I2" s="20">
        <f>H2/G2*100</f>
        <v>0</v>
      </c>
      <c r="J2" s="15">
        <v>212520</v>
      </c>
      <c r="K2" s="15">
        <f>G2-0</f>
        <v>200000</v>
      </c>
      <c r="L2" s="15">
        <v>212520</v>
      </c>
      <c r="M2" s="30">
        <v>154</v>
      </c>
      <c r="N2" s="34">
        <v>613.48498500000005</v>
      </c>
      <c r="O2" s="39">
        <v>2.169</v>
      </c>
      <c r="P2" s="39">
        <v>2.169</v>
      </c>
      <c r="Q2" s="15">
        <f>K2/M2</f>
        <v>1298.7012987012988</v>
      </c>
      <c r="R2" s="15">
        <f>K2/O2</f>
        <v>92208.39096357768</v>
      </c>
      <c r="S2" s="44">
        <f>K2/O2/43560</f>
        <v>2.1168133830022424</v>
      </c>
      <c r="T2" s="39">
        <v>154</v>
      </c>
      <c r="U2" s="5" t="s">
        <v>48</v>
      </c>
      <c r="V2" t="s">
        <v>102</v>
      </c>
      <c r="X2" t="s">
        <v>51</v>
      </c>
      <c r="Y2">
        <v>0</v>
      </c>
      <c r="Z2">
        <v>0</v>
      </c>
      <c r="AA2" t="s">
        <v>73</v>
      </c>
      <c r="AC2" s="7" t="s">
        <v>68</v>
      </c>
      <c r="AD2" t="s">
        <v>54</v>
      </c>
    </row>
    <row r="3" spans="1:64" x14ac:dyDescent="0.25">
      <c r="A3" t="s">
        <v>103</v>
      </c>
      <c r="B3" t="s">
        <v>104</v>
      </c>
      <c r="C3" s="25">
        <v>45351</v>
      </c>
      <c r="D3" s="15">
        <v>225000</v>
      </c>
      <c r="E3" t="s">
        <v>46</v>
      </c>
      <c r="F3" t="s">
        <v>47</v>
      </c>
      <c r="G3" s="15">
        <v>225000</v>
      </c>
      <c r="H3" s="15">
        <v>0</v>
      </c>
      <c r="I3" s="20">
        <f>H3/G3*100</f>
        <v>0</v>
      </c>
      <c r="J3" s="15">
        <v>214825</v>
      </c>
      <c r="K3" s="15">
        <f>G3-0</f>
        <v>225000</v>
      </c>
      <c r="L3" s="15">
        <v>214825</v>
      </c>
      <c r="M3" s="30">
        <v>155.66999999999999</v>
      </c>
      <c r="N3" s="34">
        <v>613.48498500000005</v>
      </c>
      <c r="O3" s="39">
        <v>2.1920000000000002</v>
      </c>
      <c r="P3" s="39">
        <v>2.1920000000000002</v>
      </c>
      <c r="Q3" s="15">
        <f>K3/M3</f>
        <v>1445.3651956060899</v>
      </c>
      <c r="R3" s="15">
        <f>K3/O3</f>
        <v>102645.98540145985</v>
      </c>
      <c r="S3" s="44">
        <f>K3/O3/43560</f>
        <v>2.3564275803824577</v>
      </c>
      <c r="T3" s="39">
        <v>155.66999999999999</v>
      </c>
      <c r="U3" s="5" t="s">
        <v>48</v>
      </c>
      <c r="V3" t="s">
        <v>105</v>
      </c>
      <c r="X3" t="s">
        <v>51</v>
      </c>
      <c r="Y3">
        <v>0</v>
      </c>
      <c r="Z3">
        <v>0</v>
      </c>
      <c r="AA3" t="s">
        <v>73</v>
      </c>
      <c r="AC3" s="7" t="s">
        <v>68</v>
      </c>
      <c r="AD3" t="s">
        <v>54</v>
      </c>
    </row>
    <row r="4" spans="1:64" ht="15.75" thickBot="1" x14ac:dyDescent="0.3">
      <c r="A4" t="s">
        <v>116</v>
      </c>
      <c r="B4" t="s">
        <v>117</v>
      </c>
      <c r="C4" s="25">
        <v>44763</v>
      </c>
      <c r="D4" s="15">
        <v>180000</v>
      </c>
      <c r="E4" t="s">
        <v>46</v>
      </c>
      <c r="F4" t="s">
        <v>47</v>
      </c>
      <c r="G4" s="15">
        <v>180000</v>
      </c>
      <c r="H4" s="15">
        <v>49600</v>
      </c>
      <c r="I4" s="20">
        <f>H4/G4*100</f>
        <v>27.555555555555557</v>
      </c>
      <c r="J4" s="15">
        <v>207000</v>
      </c>
      <c r="K4" s="15">
        <f>G4-0</f>
        <v>180000</v>
      </c>
      <c r="L4" s="15">
        <v>207000</v>
      </c>
      <c r="M4" s="30">
        <v>150</v>
      </c>
      <c r="N4" s="34">
        <v>179</v>
      </c>
      <c r="O4" s="39">
        <v>0.61599999999999999</v>
      </c>
      <c r="P4" s="39">
        <v>0.61599999999999999</v>
      </c>
      <c r="Q4" s="15">
        <f>K4/M4</f>
        <v>1200</v>
      </c>
      <c r="R4" s="15">
        <f>K4/O4</f>
        <v>292207.79220779223</v>
      </c>
      <c r="S4" s="44">
        <f>K4/O4/43560</f>
        <v>6.7081678651926593</v>
      </c>
      <c r="T4" s="39">
        <v>150</v>
      </c>
      <c r="U4" s="5" t="s">
        <v>48</v>
      </c>
      <c r="V4" t="s">
        <v>118</v>
      </c>
      <c r="X4" t="s">
        <v>51</v>
      </c>
      <c r="Y4">
        <v>0</v>
      </c>
      <c r="Z4">
        <v>1</v>
      </c>
      <c r="AA4" t="s">
        <v>73</v>
      </c>
      <c r="AB4" t="s">
        <v>67</v>
      </c>
      <c r="AC4" s="7" t="s">
        <v>68</v>
      </c>
      <c r="AD4" t="s">
        <v>54</v>
      </c>
    </row>
    <row r="5" spans="1:64" ht="15.75" thickTop="1" x14ac:dyDescent="0.25">
      <c r="A5" s="8"/>
      <c r="B5" s="8"/>
      <c r="C5" s="26" t="s">
        <v>157</v>
      </c>
      <c r="D5" s="16">
        <f>+SUM(D2:D4)</f>
        <v>605000</v>
      </c>
      <c r="E5" s="8"/>
      <c r="F5" s="8"/>
      <c r="G5" s="16">
        <f>+SUM(G2:G4)</f>
        <v>605000</v>
      </c>
      <c r="H5" s="16">
        <f>+SUM(H2:H4)</f>
        <v>49600</v>
      </c>
      <c r="I5" s="21"/>
      <c r="J5" s="16">
        <f>+SUM(J2:J4)</f>
        <v>634345</v>
      </c>
      <c r="K5" s="16">
        <f>+SUM(K2:K4)</f>
        <v>605000</v>
      </c>
      <c r="L5" s="16">
        <f>+SUM(L2:L4)</f>
        <v>634345</v>
      </c>
      <c r="M5" s="31">
        <f>+SUM(M2:M4)</f>
        <v>459.66999999999996</v>
      </c>
      <c r="N5" s="35"/>
      <c r="O5" s="40">
        <f>+SUM(O2:O4)</f>
        <v>4.9770000000000003</v>
      </c>
      <c r="P5" s="40">
        <f>+SUM(P2:P4)</f>
        <v>4.9770000000000003</v>
      </c>
      <c r="Q5" s="16"/>
      <c r="R5" s="16"/>
      <c r="S5" s="45"/>
      <c r="T5" s="40"/>
      <c r="U5" s="9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</row>
    <row r="6" spans="1:64" x14ac:dyDescent="0.25">
      <c r="A6" s="10"/>
      <c r="B6" s="10"/>
      <c r="C6" s="27"/>
      <c r="D6" s="17"/>
      <c r="E6" s="10"/>
      <c r="F6" s="10"/>
      <c r="G6" s="17"/>
      <c r="H6" s="17" t="s">
        <v>158</v>
      </c>
      <c r="I6" s="22">
        <f>H5/G5*100</f>
        <v>8.1983471074380176</v>
      </c>
      <c r="J6" s="17"/>
      <c r="K6" s="17"/>
      <c r="L6" s="17" t="s">
        <v>159</v>
      </c>
      <c r="M6" s="32"/>
      <c r="N6" s="36"/>
      <c r="O6" s="41" t="s">
        <v>159</v>
      </c>
      <c r="P6" s="41"/>
      <c r="Q6" s="17"/>
      <c r="R6" s="17" t="s">
        <v>159</v>
      </c>
      <c r="S6" s="46"/>
      <c r="T6" s="41"/>
      <c r="U6" s="11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</row>
    <row r="7" spans="1:64" x14ac:dyDescent="0.25">
      <c r="A7" s="12"/>
      <c r="B7" s="12"/>
      <c r="C7" s="28"/>
      <c r="D7" s="18"/>
      <c r="E7" s="12"/>
      <c r="F7" s="12"/>
      <c r="G7" s="18"/>
      <c r="H7" s="18" t="s">
        <v>160</v>
      </c>
      <c r="I7" s="23">
        <f>STDEV(I2:I4)</f>
        <v>15.909207417669689</v>
      </c>
      <c r="J7" s="18"/>
      <c r="K7" s="18"/>
      <c r="L7" s="18" t="s">
        <v>161</v>
      </c>
      <c r="M7" s="48">
        <f>K5/M5</f>
        <v>1316.1615941871344</v>
      </c>
      <c r="N7" s="37"/>
      <c r="O7" s="42" t="s">
        <v>162</v>
      </c>
      <c r="P7" s="42">
        <f>K5/O5</f>
        <v>121559.17219208357</v>
      </c>
      <c r="Q7" s="18"/>
      <c r="R7" s="18" t="s">
        <v>163</v>
      </c>
      <c r="S7" s="47">
        <f>K5/O5/43560</f>
        <v>2.790614604960596</v>
      </c>
      <c r="T7" s="42"/>
      <c r="U7" s="13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9" spans="1:64" x14ac:dyDescent="0.25">
      <c r="L9" s="49" t="s">
        <v>164</v>
      </c>
      <c r="M9" s="30">
        <v>1315</v>
      </c>
    </row>
    <row r="11" spans="1:64" x14ac:dyDescent="0.25">
      <c r="M11" s="50">
        <f>(M9-1380)/1380</f>
        <v>-4.710144927536232E-2</v>
      </c>
    </row>
  </sheetData>
  <conditionalFormatting sqref="A2:AR4">
    <cfRule type="expression" dxfId="13" priority="1" stopIfTrue="1">
      <formula>MOD(ROW(),4)&gt;1</formula>
    </cfRule>
    <cfRule type="expression" dxfId="12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453AB-A163-43C6-987C-4E9F72B68585}">
  <dimension ref="A1:BL11"/>
  <sheetViews>
    <sheetView workbookViewId="0">
      <selection activeCell="L20" sqref="L20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92</v>
      </c>
      <c r="B2" t="s">
        <v>93</v>
      </c>
      <c r="C2" s="25">
        <v>44831</v>
      </c>
      <c r="D2" s="15">
        <v>900000</v>
      </c>
      <c r="E2" t="s">
        <v>46</v>
      </c>
      <c r="F2" t="s">
        <v>47</v>
      </c>
      <c r="G2" s="15">
        <v>900000</v>
      </c>
      <c r="H2" s="15">
        <v>321900</v>
      </c>
      <c r="I2" s="20">
        <f>H2/G2*100</f>
        <v>35.766666666666666</v>
      </c>
      <c r="J2" s="15">
        <v>731432</v>
      </c>
      <c r="K2" s="15">
        <f>G2-503672</f>
        <v>396328</v>
      </c>
      <c r="L2" s="15">
        <v>227760</v>
      </c>
      <c r="M2" s="30">
        <v>312</v>
      </c>
      <c r="N2" s="34">
        <v>0</v>
      </c>
      <c r="O2" s="39">
        <v>5.4749999999999996</v>
      </c>
      <c r="P2" s="39">
        <v>5.4749999999999996</v>
      </c>
      <c r="Q2" s="15">
        <f>K2/M2</f>
        <v>1270.2820512820513</v>
      </c>
      <c r="R2" s="15">
        <f>K2/O2</f>
        <v>72388.675799086763</v>
      </c>
      <c r="S2" s="44">
        <f>K2/O2/43560</f>
        <v>1.6618153305575474</v>
      </c>
      <c r="T2" s="39">
        <v>312</v>
      </c>
      <c r="U2" s="5" t="s">
        <v>94</v>
      </c>
      <c r="V2" t="s">
        <v>95</v>
      </c>
      <c r="X2" t="s">
        <v>51</v>
      </c>
      <c r="Y2">
        <v>0</v>
      </c>
      <c r="Z2">
        <v>0</v>
      </c>
      <c r="AA2" s="6">
        <v>45191</v>
      </c>
      <c r="AB2" t="s">
        <v>52</v>
      </c>
      <c r="AC2" s="7" t="s">
        <v>91</v>
      </c>
      <c r="AD2" t="s">
        <v>96</v>
      </c>
    </row>
    <row r="3" spans="1:64" x14ac:dyDescent="0.25">
      <c r="A3" t="s">
        <v>106</v>
      </c>
      <c r="B3" t="s">
        <v>107</v>
      </c>
      <c r="C3" s="25">
        <v>45161</v>
      </c>
      <c r="D3" s="15">
        <v>655000</v>
      </c>
      <c r="E3" t="s">
        <v>46</v>
      </c>
      <c r="F3" t="s">
        <v>47</v>
      </c>
      <c r="G3" s="15">
        <v>655000</v>
      </c>
      <c r="H3" s="15">
        <v>305200</v>
      </c>
      <c r="I3" s="20">
        <f>H3/G3*100</f>
        <v>46.595419847328245</v>
      </c>
      <c r="J3" s="15">
        <v>699957</v>
      </c>
      <c r="K3" s="15">
        <f>G3-568557</f>
        <v>86443</v>
      </c>
      <c r="L3" s="15">
        <v>131400</v>
      </c>
      <c r="M3" s="30">
        <v>180</v>
      </c>
      <c r="N3" s="34">
        <v>0</v>
      </c>
      <c r="O3" s="39">
        <v>1.248</v>
      </c>
      <c r="P3" s="39">
        <v>1.248</v>
      </c>
      <c r="Q3" s="15">
        <f>K3/M3</f>
        <v>480.23888888888888</v>
      </c>
      <c r="R3" s="15">
        <f>K3/O3</f>
        <v>69265.224358974359</v>
      </c>
      <c r="S3" s="44">
        <f>K3/O3/43560</f>
        <v>1.5901107520425701</v>
      </c>
      <c r="T3" s="39">
        <v>180</v>
      </c>
      <c r="U3" s="5" t="s">
        <v>48</v>
      </c>
      <c r="V3" t="s">
        <v>108</v>
      </c>
      <c r="X3" t="s">
        <v>51</v>
      </c>
      <c r="Y3">
        <v>0</v>
      </c>
      <c r="Z3">
        <v>1</v>
      </c>
      <c r="AA3" s="6">
        <v>45494</v>
      </c>
      <c r="AB3" t="s">
        <v>109</v>
      </c>
      <c r="AC3" s="7" t="s">
        <v>53</v>
      </c>
      <c r="AD3" t="s">
        <v>96</v>
      </c>
    </row>
    <row r="4" spans="1:64" ht="15.75" thickBot="1" x14ac:dyDescent="0.3">
      <c r="A4" t="s">
        <v>110</v>
      </c>
      <c r="B4" t="s">
        <v>111</v>
      </c>
      <c r="C4" s="25">
        <v>45252</v>
      </c>
      <c r="D4" s="15">
        <v>990000</v>
      </c>
      <c r="E4" t="s">
        <v>46</v>
      </c>
      <c r="F4" t="s">
        <v>47</v>
      </c>
      <c r="G4" s="15">
        <v>990000</v>
      </c>
      <c r="H4" s="15">
        <v>337500</v>
      </c>
      <c r="I4" s="20">
        <f>H4/G4*100</f>
        <v>34.090909090909086</v>
      </c>
      <c r="J4" s="15">
        <v>780588</v>
      </c>
      <c r="K4" s="15">
        <f>G4-(671088*1.2)</f>
        <v>184694.40000000002</v>
      </c>
      <c r="L4" s="15">
        <v>109500</v>
      </c>
      <c r="M4" s="30">
        <v>150</v>
      </c>
      <c r="N4" s="34">
        <v>0</v>
      </c>
      <c r="O4" s="39">
        <v>0.92</v>
      </c>
      <c r="P4" s="39">
        <v>0.92</v>
      </c>
      <c r="Q4" s="15">
        <f>K4/M4</f>
        <v>1231.296</v>
      </c>
      <c r="R4" s="15">
        <f>K4/O4</f>
        <v>200754.78260869568</v>
      </c>
      <c r="S4" s="44">
        <f>K4/O4/43560</f>
        <v>4.608695652173914</v>
      </c>
      <c r="T4" s="39">
        <v>150</v>
      </c>
      <c r="U4" s="5" t="s">
        <v>48</v>
      </c>
      <c r="V4" t="s">
        <v>112</v>
      </c>
      <c r="X4" t="s">
        <v>51</v>
      </c>
      <c r="Y4">
        <v>0</v>
      </c>
      <c r="Z4">
        <v>1</v>
      </c>
      <c r="AA4" s="6">
        <v>45494</v>
      </c>
      <c r="AB4" t="s">
        <v>109</v>
      </c>
      <c r="AC4" s="7" t="s">
        <v>53</v>
      </c>
      <c r="AD4" t="s">
        <v>96</v>
      </c>
    </row>
    <row r="5" spans="1:64" ht="15.75" thickTop="1" x14ac:dyDescent="0.25">
      <c r="A5" s="8"/>
      <c r="B5" s="8"/>
      <c r="C5" s="26" t="s">
        <v>157</v>
      </c>
      <c r="D5" s="16">
        <f>+SUM(D2:D4)</f>
        <v>2545000</v>
      </c>
      <c r="E5" s="8"/>
      <c r="F5" s="8"/>
      <c r="G5" s="16">
        <f>+SUM(G2:G4)</f>
        <v>2545000</v>
      </c>
      <c r="H5" s="16">
        <f>+SUM(H2:H4)</f>
        <v>964600</v>
      </c>
      <c r="I5" s="21"/>
      <c r="J5" s="16">
        <f>+SUM(J2:J4)</f>
        <v>2211977</v>
      </c>
      <c r="K5" s="16">
        <f>+SUM(K2:K4)</f>
        <v>667465.4</v>
      </c>
      <c r="L5" s="16">
        <f>+SUM(L2:L4)</f>
        <v>468660</v>
      </c>
      <c r="M5" s="31">
        <f>+SUM(M2:M4)</f>
        <v>642</v>
      </c>
      <c r="N5" s="35"/>
      <c r="O5" s="40">
        <f>+SUM(O2:O4)</f>
        <v>7.6429999999999998</v>
      </c>
      <c r="P5" s="40">
        <f>+SUM(P2:P4)</f>
        <v>7.6429999999999998</v>
      </c>
      <c r="Q5" s="16"/>
      <c r="R5" s="16"/>
      <c r="S5" s="45"/>
      <c r="T5" s="40"/>
      <c r="U5" s="9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</row>
    <row r="6" spans="1:64" x14ac:dyDescent="0.25">
      <c r="A6" s="10"/>
      <c r="B6" s="10"/>
      <c r="C6" s="27"/>
      <c r="D6" s="17"/>
      <c r="E6" s="10"/>
      <c r="F6" s="10"/>
      <c r="G6" s="17"/>
      <c r="H6" s="17" t="s">
        <v>158</v>
      </c>
      <c r="I6" s="22">
        <f>H5/G5*100</f>
        <v>37.901768172888019</v>
      </c>
      <c r="J6" s="17"/>
      <c r="K6" s="17"/>
      <c r="L6" s="17" t="s">
        <v>159</v>
      </c>
      <c r="M6" s="32"/>
      <c r="N6" s="36"/>
      <c r="O6" s="41" t="s">
        <v>159</v>
      </c>
      <c r="P6" s="41"/>
      <c r="Q6" s="17"/>
      <c r="R6" s="17" t="s">
        <v>159</v>
      </c>
      <c r="S6" s="46"/>
      <c r="T6" s="41"/>
      <c r="U6" s="11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</row>
    <row r="7" spans="1:64" x14ac:dyDescent="0.25">
      <c r="A7" s="12"/>
      <c r="B7" s="12"/>
      <c r="C7" s="28"/>
      <c r="D7" s="18"/>
      <c r="E7" s="12"/>
      <c r="F7" s="12"/>
      <c r="G7" s="18"/>
      <c r="H7" s="18" t="s">
        <v>160</v>
      </c>
      <c r="I7" s="23">
        <f>STDEV(I2:I4)</f>
        <v>6.7876462311785923</v>
      </c>
      <c r="J7" s="18"/>
      <c r="K7" s="18"/>
      <c r="L7" s="18" t="s">
        <v>161</v>
      </c>
      <c r="M7" s="48">
        <f>K5/M5</f>
        <v>1039.6657320872275</v>
      </c>
      <c r="N7" s="37"/>
      <c r="O7" s="42" t="s">
        <v>162</v>
      </c>
      <c r="P7" s="42">
        <f>K5/O5</f>
        <v>87330.289153473772</v>
      </c>
      <c r="Q7" s="18"/>
      <c r="R7" s="18" t="s">
        <v>163</v>
      </c>
      <c r="S7" s="47">
        <f>K5/O5/43560</f>
        <v>2.0048275746894806</v>
      </c>
      <c r="T7" s="42"/>
      <c r="U7" s="13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9" spans="1:64" x14ac:dyDescent="0.25">
      <c r="L9" s="49" t="s">
        <v>164</v>
      </c>
      <c r="M9" s="30">
        <v>1040</v>
      </c>
    </row>
    <row r="11" spans="1:64" x14ac:dyDescent="0.25">
      <c r="M11" s="50">
        <f>(M9-730)/730</f>
        <v>0.42465753424657532</v>
      </c>
    </row>
  </sheetData>
  <conditionalFormatting sqref="A2:AR4">
    <cfRule type="expression" dxfId="11" priority="1" stopIfTrue="1">
      <formula>MOD(ROW(),4)&gt;1</formula>
    </cfRule>
    <cfRule type="expression" dxfId="10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013C1-4724-440A-8A0A-B179ACFA5DB3}">
  <dimension ref="A1:BL11"/>
  <sheetViews>
    <sheetView workbookViewId="0">
      <selection activeCell="M11" sqref="M11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70</v>
      </c>
      <c r="B2" t="s">
        <v>71</v>
      </c>
      <c r="C2" s="25">
        <v>45026</v>
      </c>
      <c r="D2" s="15">
        <v>245000</v>
      </c>
      <c r="E2" t="s">
        <v>46</v>
      </c>
      <c r="F2" t="s">
        <v>47</v>
      </c>
      <c r="G2" s="15">
        <v>245000</v>
      </c>
      <c r="H2" s="15">
        <v>54200</v>
      </c>
      <c r="I2" s="20">
        <f>H2/G2*100</f>
        <v>22.122448979591837</v>
      </c>
      <c r="J2" s="15">
        <v>202210</v>
      </c>
      <c r="K2" s="15">
        <f>G2-0</f>
        <v>245000</v>
      </c>
      <c r="L2" s="15">
        <v>202210</v>
      </c>
      <c r="M2" s="30">
        <v>277</v>
      </c>
      <c r="N2" s="34">
        <v>0</v>
      </c>
      <c r="O2" s="39">
        <v>2.71</v>
      </c>
      <c r="P2" s="39">
        <v>2.71</v>
      </c>
      <c r="Q2" s="15">
        <f>K2/M2</f>
        <v>884.47653429602883</v>
      </c>
      <c r="R2" s="15">
        <f>K2/O2</f>
        <v>90405.904059040593</v>
      </c>
      <c r="S2" s="44">
        <f>K2/O2/43560</f>
        <v>2.0754339774802708</v>
      </c>
      <c r="T2" s="39">
        <v>277</v>
      </c>
      <c r="U2" s="5" t="s">
        <v>48</v>
      </c>
      <c r="V2" t="s">
        <v>72</v>
      </c>
      <c r="X2" t="s">
        <v>51</v>
      </c>
      <c r="Y2">
        <v>0</v>
      </c>
      <c r="Z2">
        <v>0</v>
      </c>
      <c r="AA2" t="s">
        <v>73</v>
      </c>
      <c r="AC2" s="7" t="s">
        <v>68</v>
      </c>
      <c r="AD2" t="s">
        <v>74</v>
      </c>
    </row>
    <row r="3" spans="1:64" x14ac:dyDescent="0.25">
      <c r="A3" t="s">
        <v>75</v>
      </c>
      <c r="B3" t="s">
        <v>76</v>
      </c>
      <c r="C3" s="25">
        <v>44995</v>
      </c>
      <c r="D3" s="15">
        <v>218000</v>
      </c>
      <c r="E3" t="s">
        <v>46</v>
      </c>
      <c r="F3" t="s">
        <v>47</v>
      </c>
      <c r="G3" s="15">
        <v>218000</v>
      </c>
      <c r="H3" s="15">
        <v>0</v>
      </c>
      <c r="I3" s="20">
        <f>H3/G3*100</f>
        <v>0</v>
      </c>
      <c r="J3" s="15">
        <v>163520</v>
      </c>
      <c r="K3" s="15">
        <f>G3-0</f>
        <v>218000</v>
      </c>
      <c r="L3" s="15">
        <v>163520</v>
      </c>
      <c r="M3" s="30">
        <v>224</v>
      </c>
      <c r="N3" s="34">
        <v>0</v>
      </c>
      <c r="O3" s="39">
        <v>2.71</v>
      </c>
      <c r="P3" s="39">
        <v>2.71</v>
      </c>
      <c r="Q3" s="15">
        <f>K3/M3</f>
        <v>973.21428571428567</v>
      </c>
      <c r="R3" s="15">
        <f>K3/O3</f>
        <v>80442.804428044285</v>
      </c>
      <c r="S3" s="44">
        <f>K3/O3/43560</f>
        <v>1.8467126820028532</v>
      </c>
      <c r="T3" s="39">
        <v>224</v>
      </c>
      <c r="U3" s="5" t="s">
        <v>48</v>
      </c>
      <c r="V3" t="s">
        <v>77</v>
      </c>
      <c r="X3" t="s">
        <v>51</v>
      </c>
      <c r="Y3">
        <v>0</v>
      </c>
      <c r="Z3">
        <v>0</v>
      </c>
      <c r="AA3" t="s">
        <v>73</v>
      </c>
      <c r="AC3" s="7" t="s">
        <v>68</v>
      </c>
      <c r="AD3" t="s">
        <v>74</v>
      </c>
    </row>
    <row r="4" spans="1:64" ht="15.75" thickBot="1" x14ac:dyDescent="0.3">
      <c r="A4" t="s">
        <v>78</v>
      </c>
      <c r="B4" t="s">
        <v>79</v>
      </c>
      <c r="C4" s="25">
        <v>44935</v>
      </c>
      <c r="D4" s="15">
        <v>200000</v>
      </c>
      <c r="E4" t="s">
        <v>46</v>
      </c>
      <c r="F4" t="s">
        <v>47</v>
      </c>
      <c r="G4" s="15">
        <v>200000</v>
      </c>
      <c r="H4" s="15">
        <v>0</v>
      </c>
      <c r="I4" s="20">
        <f>H4/G4*100</f>
        <v>0</v>
      </c>
      <c r="J4" s="15">
        <v>170090</v>
      </c>
      <c r="K4" s="15">
        <f>G4-0</f>
        <v>200000</v>
      </c>
      <c r="L4" s="15">
        <v>170090</v>
      </c>
      <c r="M4" s="30">
        <v>233</v>
      </c>
      <c r="N4" s="34">
        <v>0</v>
      </c>
      <c r="O4" s="39">
        <v>2.71</v>
      </c>
      <c r="P4" s="39">
        <v>2.71</v>
      </c>
      <c r="Q4" s="15">
        <f>K4/M4</f>
        <v>858.36909871244632</v>
      </c>
      <c r="R4" s="15">
        <f>K4/O4</f>
        <v>73800.738007380074</v>
      </c>
      <c r="S4" s="44">
        <f>K4/O4/43560</f>
        <v>1.6942318183512415</v>
      </c>
      <c r="T4" s="39">
        <v>233</v>
      </c>
      <c r="U4" s="5" t="s">
        <v>48</v>
      </c>
      <c r="V4" t="s">
        <v>80</v>
      </c>
      <c r="X4" t="s">
        <v>51</v>
      </c>
      <c r="Y4">
        <v>0</v>
      </c>
      <c r="Z4">
        <v>0</v>
      </c>
      <c r="AA4" t="s">
        <v>73</v>
      </c>
      <c r="AC4" s="7" t="s">
        <v>53</v>
      </c>
      <c r="AD4" t="s">
        <v>74</v>
      </c>
    </row>
    <row r="5" spans="1:64" ht="15.75" thickTop="1" x14ac:dyDescent="0.25">
      <c r="A5" s="8"/>
      <c r="B5" s="8"/>
      <c r="C5" s="26" t="s">
        <v>157</v>
      </c>
      <c r="D5" s="16">
        <f>+SUM(D2:D4)</f>
        <v>663000</v>
      </c>
      <c r="E5" s="8"/>
      <c r="F5" s="8"/>
      <c r="G5" s="16">
        <f>+SUM(G2:G4)</f>
        <v>663000</v>
      </c>
      <c r="H5" s="16">
        <f>+SUM(H2:H4)</f>
        <v>54200</v>
      </c>
      <c r="I5" s="21"/>
      <c r="J5" s="16">
        <f>+SUM(J2:J4)</f>
        <v>535820</v>
      </c>
      <c r="K5" s="16">
        <f>+SUM(K2:K4)</f>
        <v>663000</v>
      </c>
      <c r="L5" s="16">
        <f>+SUM(L2:L4)</f>
        <v>535820</v>
      </c>
      <c r="M5" s="31">
        <f>+SUM(M2:M4)</f>
        <v>734</v>
      </c>
      <c r="N5" s="35"/>
      <c r="O5" s="40">
        <f>+SUM(O2:O4)</f>
        <v>8.129999999999999</v>
      </c>
      <c r="P5" s="40">
        <f>+SUM(P2:P4)</f>
        <v>8.129999999999999</v>
      </c>
      <c r="Q5" s="16"/>
      <c r="R5" s="16"/>
      <c r="S5" s="45"/>
      <c r="T5" s="40"/>
      <c r="U5" s="9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</row>
    <row r="6" spans="1:64" x14ac:dyDescent="0.25">
      <c r="A6" s="10"/>
      <c r="B6" s="10"/>
      <c r="C6" s="27"/>
      <c r="D6" s="17"/>
      <c r="E6" s="10"/>
      <c r="F6" s="10"/>
      <c r="G6" s="17"/>
      <c r="H6" s="17" t="s">
        <v>158</v>
      </c>
      <c r="I6" s="22">
        <f>H5/G5*100</f>
        <v>8.1749622926093508</v>
      </c>
      <c r="J6" s="17"/>
      <c r="K6" s="17"/>
      <c r="L6" s="17" t="s">
        <v>159</v>
      </c>
      <c r="M6" s="32"/>
      <c r="N6" s="36"/>
      <c r="O6" s="41" t="s">
        <v>159</v>
      </c>
      <c r="P6" s="41"/>
      <c r="Q6" s="17"/>
      <c r="R6" s="17" t="s">
        <v>159</v>
      </c>
      <c r="S6" s="46"/>
      <c r="T6" s="41"/>
      <c r="U6" s="11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</row>
    <row r="7" spans="1:64" x14ac:dyDescent="0.25">
      <c r="A7" s="12"/>
      <c r="B7" s="12"/>
      <c r="C7" s="28"/>
      <c r="D7" s="18"/>
      <c r="E7" s="12"/>
      <c r="F7" s="12"/>
      <c r="G7" s="18"/>
      <c r="H7" s="18" t="s">
        <v>160</v>
      </c>
      <c r="I7" s="23">
        <f>STDEV(I2:I4)</f>
        <v>12.77240187350111</v>
      </c>
      <c r="J7" s="18"/>
      <c r="K7" s="18"/>
      <c r="L7" s="18" t="s">
        <v>161</v>
      </c>
      <c r="M7" s="48">
        <f>K5/M5</f>
        <v>903.26975476839232</v>
      </c>
      <c r="N7" s="37"/>
      <c r="O7" s="42" t="s">
        <v>162</v>
      </c>
      <c r="P7" s="42">
        <f>K5/O5</f>
        <v>81549.815498154989</v>
      </c>
      <c r="Q7" s="18"/>
      <c r="R7" s="18" t="s">
        <v>163</v>
      </c>
      <c r="S7" s="47">
        <f>K5/O5/43560</f>
        <v>1.872126159278122</v>
      </c>
      <c r="T7" s="42"/>
      <c r="U7" s="13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</row>
    <row r="9" spans="1:64" x14ac:dyDescent="0.25">
      <c r="L9" s="49" t="s">
        <v>164</v>
      </c>
      <c r="M9" s="30">
        <v>905</v>
      </c>
    </row>
    <row r="11" spans="1:64" x14ac:dyDescent="0.25">
      <c r="M11" s="50">
        <f>(M9-730)/730</f>
        <v>0.23972602739726026</v>
      </c>
    </row>
  </sheetData>
  <conditionalFormatting sqref="A2:AR4">
    <cfRule type="expression" dxfId="9" priority="1" stopIfTrue="1">
      <formula>MOD(ROW(),4)&gt;1</formula>
    </cfRule>
    <cfRule type="expression" dxfId="8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4C6E1-BA3A-4BA2-A0B2-C6204AE064DC}">
  <dimension ref="A1:BL12"/>
  <sheetViews>
    <sheetView workbookViewId="0">
      <selection activeCell="N15" sqref="N15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55</v>
      </c>
      <c r="B2" t="s">
        <v>56</v>
      </c>
      <c r="C2" s="25">
        <v>45278</v>
      </c>
      <c r="D2" s="15">
        <v>750000</v>
      </c>
      <c r="E2" t="s">
        <v>46</v>
      </c>
      <c r="F2" t="s">
        <v>47</v>
      </c>
      <c r="G2" s="15">
        <v>750000</v>
      </c>
      <c r="H2" s="15">
        <v>331100</v>
      </c>
      <c r="I2" s="20">
        <f>H2/G2*100</f>
        <v>44.146666666666668</v>
      </c>
      <c r="J2" s="15">
        <v>669890</v>
      </c>
      <c r="K2" s="15">
        <f>G2-546960</f>
        <v>203040</v>
      </c>
      <c r="L2" s="15">
        <v>122930</v>
      </c>
      <c r="M2" s="30">
        <v>258.8</v>
      </c>
      <c r="N2" s="34">
        <v>585.330017</v>
      </c>
      <c r="O2" s="39">
        <v>3.4780000000000002</v>
      </c>
      <c r="P2" s="39">
        <v>3.4780000000000002</v>
      </c>
      <c r="Q2" s="15">
        <f>K2/M2</f>
        <v>784.54404945904173</v>
      </c>
      <c r="R2" s="15">
        <f>K2/O2</f>
        <v>58378.378378378373</v>
      </c>
      <c r="S2" s="44">
        <f>K2/O2/43560</f>
        <v>1.3401831583649764</v>
      </c>
      <c r="T2" s="39">
        <v>258.8</v>
      </c>
      <c r="U2" s="5" t="s">
        <v>57</v>
      </c>
      <c r="V2" t="s">
        <v>58</v>
      </c>
      <c r="X2" t="s">
        <v>51</v>
      </c>
      <c r="Y2">
        <v>0</v>
      </c>
      <c r="Z2">
        <v>1</v>
      </c>
      <c r="AA2" s="6">
        <v>42297</v>
      </c>
      <c r="AB2" t="s">
        <v>52</v>
      </c>
      <c r="AC2" s="7" t="s">
        <v>53</v>
      </c>
      <c r="AD2" t="s">
        <v>59</v>
      </c>
    </row>
    <row r="3" spans="1:64" x14ac:dyDescent="0.25">
      <c r="A3" t="s">
        <v>97</v>
      </c>
      <c r="B3" t="s">
        <v>98</v>
      </c>
      <c r="C3" s="25">
        <v>45264</v>
      </c>
      <c r="D3" s="15">
        <v>285000</v>
      </c>
      <c r="E3" t="s">
        <v>46</v>
      </c>
      <c r="F3" t="s">
        <v>47</v>
      </c>
      <c r="G3" s="15">
        <v>285000</v>
      </c>
      <c r="H3" s="15">
        <v>90100</v>
      </c>
      <c r="I3" s="20">
        <f>H3/G3*100</f>
        <v>31.614035087719301</v>
      </c>
      <c r="J3" s="15">
        <v>251750</v>
      </c>
      <c r="K3" s="15">
        <f>G3-0</f>
        <v>285000</v>
      </c>
      <c r="L3" s="15">
        <v>251750</v>
      </c>
      <c r="M3" s="30">
        <v>530</v>
      </c>
      <c r="N3" s="34">
        <v>0</v>
      </c>
      <c r="O3" s="39">
        <v>3.29</v>
      </c>
      <c r="P3" s="39">
        <v>3.29</v>
      </c>
      <c r="Q3" s="15">
        <f>K3/M3</f>
        <v>537.7358490566038</v>
      </c>
      <c r="R3" s="15">
        <f>K3/O3</f>
        <v>86626.139817629184</v>
      </c>
      <c r="S3" s="44">
        <f>K3/O3/43560</f>
        <v>1.9886625302486038</v>
      </c>
      <c r="T3" s="39">
        <v>530</v>
      </c>
      <c r="U3" s="5" t="s">
        <v>94</v>
      </c>
      <c r="V3" t="s">
        <v>99</v>
      </c>
      <c r="X3" t="s">
        <v>51</v>
      </c>
      <c r="Y3">
        <v>0</v>
      </c>
      <c r="Z3">
        <v>0</v>
      </c>
      <c r="AA3" t="s">
        <v>73</v>
      </c>
      <c r="AB3" t="s">
        <v>67</v>
      </c>
      <c r="AC3" s="7" t="s">
        <v>68</v>
      </c>
      <c r="AD3" t="s">
        <v>59</v>
      </c>
    </row>
    <row r="4" spans="1:64" x14ac:dyDescent="0.25">
      <c r="A4" t="s">
        <v>129</v>
      </c>
      <c r="B4" t="s">
        <v>130</v>
      </c>
      <c r="C4" s="25">
        <v>45126</v>
      </c>
      <c r="D4" s="15">
        <v>495000</v>
      </c>
      <c r="E4" t="s">
        <v>46</v>
      </c>
      <c r="F4" t="s">
        <v>47</v>
      </c>
      <c r="G4" s="15">
        <v>495000</v>
      </c>
      <c r="H4" s="15">
        <v>250600</v>
      </c>
      <c r="I4" s="20">
        <f>H4/G4*100</f>
        <v>50.62626262626263</v>
      </c>
      <c r="J4" s="15">
        <v>492939</v>
      </c>
      <c r="K4" s="15">
        <f>G4-415989</f>
        <v>79011</v>
      </c>
      <c r="L4" s="15">
        <v>76950</v>
      </c>
      <c r="M4" s="30">
        <v>162</v>
      </c>
      <c r="N4" s="34">
        <v>167</v>
      </c>
      <c r="O4" s="39">
        <v>0.621</v>
      </c>
      <c r="P4" s="39">
        <v>0.621</v>
      </c>
      <c r="Q4" s="15">
        <f>K4/M4</f>
        <v>487.72222222222223</v>
      </c>
      <c r="R4" s="15">
        <f>K4/O4</f>
        <v>127231.88405797101</v>
      </c>
      <c r="S4" s="44">
        <f>K4/O4/43560</f>
        <v>2.9208421500911617</v>
      </c>
      <c r="T4" s="39">
        <v>162</v>
      </c>
      <c r="U4" s="5" t="s">
        <v>48</v>
      </c>
      <c r="V4" t="s">
        <v>131</v>
      </c>
      <c r="X4" t="s">
        <v>51</v>
      </c>
      <c r="Y4">
        <v>0</v>
      </c>
      <c r="Z4">
        <v>0</v>
      </c>
      <c r="AA4" t="s">
        <v>73</v>
      </c>
      <c r="AB4" t="s">
        <v>52</v>
      </c>
      <c r="AC4" s="7" t="s">
        <v>53</v>
      </c>
      <c r="AD4" t="s">
        <v>59</v>
      </c>
    </row>
    <row r="5" spans="1:64" ht="15.75" thickBot="1" x14ac:dyDescent="0.3">
      <c r="A5" t="s">
        <v>154</v>
      </c>
      <c r="B5" t="s">
        <v>155</v>
      </c>
      <c r="C5" s="25">
        <v>44985</v>
      </c>
      <c r="D5" s="15">
        <v>899000</v>
      </c>
      <c r="E5" t="s">
        <v>46</v>
      </c>
      <c r="F5" t="s">
        <v>47</v>
      </c>
      <c r="G5" s="15">
        <v>899000</v>
      </c>
      <c r="H5" s="15">
        <v>295200</v>
      </c>
      <c r="I5" s="20">
        <f>H5/G5*100</f>
        <v>32.836484983314797</v>
      </c>
      <c r="J5" s="15">
        <v>919174</v>
      </c>
      <c r="K5" s="15">
        <f>G5-845549</f>
        <v>53451</v>
      </c>
      <c r="L5" s="15">
        <v>73625</v>
      </c>
      <c r="M5" s="30">
        <v>155</v>
      </c>
      <c r="N5" s="34">
        <v>0</v>
      </c>
      <c r="O5" s="39">
        <v>0.34399999999999997</v>
      </c>
      <c r="P5" s="39">
        <v>0.34399999999999997</v>
      </c>
      <c r="Q5" s="15">
        <f>K5/M5</f>
        <v>344.84516129032261</v>
      </c>
      <c r="R5" s="15">
        <f>K5/O5</f>
        <v>155380.8139534884</v>
      </c>
      <c r="S5" s="44">
        <f>K5/O5/43560</f>
        <v>3.5670526619258127</v>
      </c>
      <c r="T5" s="39">
        <v>155</v>
      </c>
      <c r="U5" s="5" t="s">
        <v>48</v>
      </c>
      <c r="V5" t="s">
        <v>156</v>
      </c>
      <c r="X5" t="s">
        <v>51</v>
      </c>
      <c r="Y5">
        <v>0</v>
      </c>
      <c r="Z5">
        <v>0</v>
      </c>
      <c r="AA5" t="s">
        <v>73</v>
      </c>
      <c r="AB5" t="s">
        <v>52</v>
      </c>
      <c r="AC5" s="7" t="s">
        <v>53</v>
      </c>
      <c r="AD5" t="s">
        <v>59</v>
      </c>
    </row>
    <row r="6" spans="1:64" ht="15.75" thickTop="1" x14ac:dyDescent="0.25">
      <c r="A6" s="8"/>
      <c r="B6" s="8"/>
      <c r="C6" s="26" t="s">
        <v>157</v>
      </c>
      <c r="D6" s="16">
        <f>+SUM(D2:D5)</f>
        <v>2429000</v>
      </c>
      <c r="E6" s="8"/>
      <c r="F6" s="8"/>
      <c r="G6" s="16">
        <f>+SUM(G2:G5)</f>
        <v>2429000</v>
      </c>
      <c r="H6" s="16">
        <f>+SUM(H2:H5)</f>
        <v>967000</v>
      </c>
      <c r="I6" s="21"/>
      <c r="J6" s="16">
        <f>+SUM(J2:J5)</f>
        <v>2333753</v>
      </c>
      <c r="K6" s="16">
        <f>+SUM(K2:K5)</f>
        <v>620502</v>
      </c>
      <c r="L6" s="16">
        <f>+SUM(L2:L5)</f>
        <v>525255</v>
      </c>
      <c r="M6" s="31">
        <f>+SUM(M2:M5)</f>
        <v>1105.8</v>
      </c>
      <c r="N6" s="35"/>
      <c r="O6" s="40">
        <f>+SUM(O2:O5)</f>
        <v>7.7330000000000014</v>
      </c>
      <c r="P6" s="40">
        <f>+SUM(P2:P5)</f>
        <v>7.7330000000000014</v>
      </c>
      <c r="Q6" s="16"/>
      <c r="R6" s="16"/>
      <c r="S6" s="45"/>
      <c r="T6" s="40"/>
      <c r="U6" s="9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</row>
    <row r="7" spans="1:64" x14ac:dyDescent="0.25">
      <c r="A7" s="10"/>
      <c r="B7" s="10"/>
      <c r="C7" s="27"/>
      <c r="D7" s="17"/>
      <c r="E7" s="10"/>
      <c r="F7" s="10"/>
      <c r="G7" s="17"/>
      <c r="H7" s="17" t="s">
        <v>158</v>
      </c>
      <c r="I7" s="22">
        <f>H6/G6*100</f>
        <v>39.810621655002059</v>
      </c>
      <c r="J7" s="17"/>
      <c r="K7" s="17"/>
      <c r="L7" s="17" t="s">
        <v>159</v>
      </c>
      <c r="M7" s="32"/>
      <c r="N7" s="36"/>
      <c r="O7" s="41" t="s">
        <v>159</v>
      </c>
      <c r="P7" s="41"/>
      <c r="Q7" s="17"/>
      <c r="R7" s="17" t="s">
        <v>159</v>
      </c>
      <c r="S7" s="46"/>
      <c r="T7" s="41"/>
      <c r="U7" s="11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</row>
    <row r="8" spans="1:64" x14ac:dyDescent="0.25">
      <c r="A8" s="12"/>
      <c r="B8" s="12"/>
      <c r="C8" s="28"/>
      <c r="D8" s="18"/>
      <c r="E8" s="12"/>
      <c r="F8" s="12"/>
      <c r="G8" s="18"/>
      <c r="H8" s="18" t="s">
        <v>160</v>
      </c>
      <c r="I8" s="23">
        <f>STDEV(I2:I5)</f>
        <v>9.1579091323373873</v>
      </c>
      <c r="J8" s="18"/>
      <c r="K8" s="18"/>
      <c r="L8" s="18" t="s">
        <v>161</v>
      </c>
      <c r="M8" s="48">
        <f>K6/M6</f>
        <v>561.13402061855675</v>
      </c>
      <c r="N8" s="37"/>
      <c r="O8" s="42" t="s">
        <v>162</v>
      </c>
      <c r="P8" s="42">
        <f>K6/O6</f>
        <v>80240.786240786227</v>
      </c>
      <c r="Q8" s="18"/>
      <c r="R8" s="18" t="s">
        <v>163</v>
      </c>
      <c r="S8" s="47">
        <f>K6/O6/43560</f>
        <v>1.84207498257085</v>
      </c>
      <c r="T8" s="42"/>
      <c r="U8" s="13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</row>
    <row r="10" spans="1:64" x14ac:dyDescent="0.25">
      <c r="L10" s="49" t="s">
        <v>164</v>
      </c>
      <c r="M10" s="30">
        <v>560</v>
      </c>
    </row>
    <row r="12" spans="1:64" x14ac:dyDescent="0.25">
      <c r="M12" s="50">
        <f>(M10-475)/475</f>
        <v>0.17894736842105263</v>
      </c>
    </row>
  </sheetData>
  <conditionalFormatting sqref="A2:AR5">
    <cfRule type="expression" dxfId="7" priority="1" stopIfTrue="1">
      <formula>MOD(ROW(),4)&gt;1</formula>
    </cfRule>
    <cfRule type="expression" dxfId="6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A814D-F627-4EF4-B277-6E17B6B2F4DA}">
  <dimension ref="A1:BL10"/>
  <sheetViews>
    <sheetView workbookViewId="0">
      <selection activeCell="M16" sqref="M16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144</v>
      </c>
      <c r="B2" t="s">
        <v>145</v>
      </c>
      <c r="C2" s="25">
        <v>45313</v>
      </c>
      <c r="D2" s="15">
        <v>380000</v>
      </c>
      <c r="E2" t="s">
        <v>46</v>
      </c>
      <c r="F2" t="s">
        <v>47</v>
      </c>
      <c r="G2" s="15">
        <v>380000</v>
      </c>
      <c r="H2" s="15">
        <v>234800</v>
      </c>
      <c r="I2" s="20">
        <f>H2/G2*100</f>
        <v>61.789473684210527</v>
      </c>
      <c r="J2" s="15">
        <v>380691</v>
      </c>
      <c r="K2" s="15">
        <f>G2-319131</f>
        <v>60869</v>
      </c>
      <c r="L2" s="15">
        <v>61560</v>
      </c>
      <c r="M2" s="30">
        <v>162</v>
      </c>
      <c r="N2" s="34">
        <v>0</v>
      </c>
      <c r="O2" s="39">
        <v>1.2989999999999999</v>
      </c>
      <c r="P2" s="39">
        <v>1.2989999999999999</v>
      </c>
      <c r="Q2" s="15">
        <f>K2/M2</f>
        <v>375.73456790123458</v>
      </c>
      <c r="R2" s="15">
        <f>K2/O2</f>
        <v>46858.352578906852</v>
      </c>
      <c r="S2" s="44">
        <f>K2/O2/43560</f>
        <v>1.0757197561732519</v>
      </c>
      <c r="T2" s="39">
        <v>162</v>
      </c>
      <c r="U2" s="5" t="s">
        <v>48</v>
      </c>
      <c r="V2" t="s">
        <v>146</v>
      </c>
      <c r="X2" t="s">
        <v>51</v>
      </c>
      <c r="Y2">
        <v>0</v>
      </c>
      <c r="Z2">
        <v>1</v>
      </c>
      <c r="AA2" s="6">
        <v>45489</v>
      </c>
      <c r="AB2" t="s">
        <v>52</v>
      </c>
      <c r="AC2" s="7" t="s">
        <v>53</v>
      </c>
      <c r="AD2" t="s">
        <v>147</v>
      </c>
    </row>
    <row r="3" spans="1:64" ht="15.75" thickBot="1" x14ac:dyDescent="0.3">
      <c r="A3" t="s">
        <v>148</v>
      </c>
      <c r="B3" t="s">
        <v>149</v>
      </c>
      <c r="C3" s="25">
        <v>44823</v>
      </c>
      <c r="D3" s="15">
        <v>380000</v>
      </c>
      <c r="E3" t="s">
        <v>46</v>
      </c>
      <c r="F3" t="s">
        <v>47</v>
      </c>
      <c r="G3" s="15">
        <v>380000</v>
      </c>
      <c r="H3" s="15">
        <v>207300</v>
      </c>
      <c r="I3" s="20">
        <f>H3/G3*100</f>
        <v>54.552631578947363</v>
      </c>
      <c r="J3" s="15">
        <v>383901</v>
      </c>
      <c r="K3" s="15">
        <f>G3-315149-11752</f>
        <v>53099</v>
      </c>
      <c r="L3" s="15">
        <v>57000</v>
      </c>
      <c r="M3" s="30">
        <v>150</v>
      </c>
      <c r="N3" s="34">
        <v>0</v>
      </c>
      <c r="O3" s="39">
        <v>0.59</v>
      </c>
      <c r="P3" s="39">
        <v>0.59</v>
      </c>
      <c r="Q3" s="15">
        <f>K3/M3</f>
        <v>353.99333333333334</v>
      </c>
      <c r="R3" s="15">
        <f>K3/O3</f>
        <v>89998.305084745763</v>
      </c>
      <c r="S3" s="44">
        <f>K3/O3/43560</f>
        <v>2.0660767925791039</v>
      </c>
      <c r="T3" s="39">
        <v>150</v>
      </c>
      <c r="U3" s="5" t="s">
        <v>48</v>
      </c>
      <c r="V3" t="s">
        <v>150</v>
      </c>
      <c r="X3" t="s">
        <v>51</v>
      </c>
      <c r="Y3">
        <v>0</v>
      </c>
      <c r="Z3">
        <v>1</v>
      </c>
      <c r="AA3" s="6">
        <v>45488</v>
      </c>
      <c r="AB3" t="s">
        <v>52</v>
      </c>
      <c r="AC3" s="7" t="s">
        <v>53</v>
      </c>
      <c r="AD3" t="s">
        <v>147</v>
      </c>
    </row>
    <row r="4" spans="1:64" ht="15.75" thickTop="1" x14ac:dyDescent="0.25">
      <c r="A4" s="8"/>
      <c r="B4" s="8"/>
      <c r="C4" s="26" t="s">
        <v>157</v>
      </c>
      <c r="D4" s="16">
        <f>+SUM(D2:D3)</f>
        <v>760000</v>
      </c>
      <c r="E4" s="8"/>
      <c r="F4" s="8"/>
      <c r="G4" s="16">
        <f>+SUM(G2:G3)</f>
        <v>760000</v>
      </c>
      <c r="H4" s="16">
        <f>+SUM(H2:H3)</f>
        <v>442100</v>
      </c>
      <c r="I4" s="21"/>
      <c r="J4" s="16">
        <f>+SUM(J2:J3)</f>
        <v>764592</v>
      </c>
      <c r="K4" s="16">
        <f>+SUM(K2:K3)</f>
        <v>113968</v>
      </c>
      <c r="L4" s="16">
        <f>+SUM(L2:L3)</f>
        <v>118560</v>
      </c>
      <c r="M4" s="31">
        <f>+SUM(M2:M3)</f>
        <v>312</v>
      </c>
      <c r="N4" s="35"/>
      <c r="O4" s="40">
        <f>+SUM(O2:O3)</f>
        <v>1.8889999999999998</v>
      </c>
      <c r="P4" s="40">
        <f>+SUM(P2:P3)</f>
        <v>1.8889999999999998</v>
      </c>
      <c r="Q4" s="16"/>
      <c r="R4" s="16"/>
      <c r="S4" s="45"/>
      <c r="T4" s="40"/>
      <c r="U4" s="9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</row>
    <row r="5" spans="1:64" x14ac:dyDescent="0.25">
      <c r="A5" s="10"/>
      <c r="B5" s="10"/>
      <c r="C5" s="27"/>
      <c r="D5" s="17"/>
      <c r="E5" s="10"/>
      <c r="F5" s="10"/>
      <c r="G5" s="17"/>
      <c r="H5" s="17" t="s">
        <v>158</v>
      </c>
      <c r="I5" s="22">
        <f>H4/G4*100</f>
        <v>58.171052631578945</v>
      </c>
      <c r="J5" s="17"/>
      <c r="K5" s="17"/>
      <c r="L5" s="17" t="s">
        <v>159</v>
      </c>
      <c r="M5" s="32"/>
      <c r="N5" s="36"/>
      <c r="O5" s="41" t="s">
        <v>159</v>
      </c>
      <c r="P5" s="41"/>
      <c r="Q5" s="17"/>
      <c r="R5" s="17" t="s">
        <v>159</v>
      </c>
      <c r="S5" s="46"/>
      <c r="T5" s="41"/>
      <c r="U5" s="11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</row>
    <row r="6" spans="1:64" x14ac:dyDescent="0.25">
      <c r="A6" s="12"/>
      <c r="B6" s="12"/>
      <c r="C6" s="28"/>
      <c r="D6" s="18"/>
      <c r="E6" s="12"/>
      <c r="F6" s="12"/>
      <c r="G6" s="18"/>
      <c r="H6" s="18" t="s">
        <v>160</v>
      </c>
      <c r="I6" s="23">
        <f>STDEV(I2:I3)</f>
        <v>5.117220127007915</v>
      </c>
      <c r="J6" s="18"/>
      <c r="K6" s="18"/>
      <c r="L6" s="18" t="s">
        <v>161</v>
      </c>
      <c r="M6" s="48">
        <f>K4/M4</f>
        <v>365.28205128205127</v>
      </c>
      <c r="N6" s="37"/>
      <c r="O6" s="42" t="s">
        <v>162</v>
      </c>
      <c r="P6" s="42">
        <f>K4/O4</f>
        <v>60332.451032292221</v>
      </c>
      <c r="Q6" s="18"/>
      <c r="R6" s="18" t="s">
        <v>163</v>
      </c>
      <c r="S6" s="47">
        <f>K4/O4/43560</f>
        <v>1.3850424938542751</v>
      </c>
      <c r="T6" s="42"/>
      <c r="U6" s="13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</row>
    <row r="8" spans="1:64" x14ac:dyDescent="0.25">
      <c r="L8" s="49" t="s">
        <v>164</v>
      </c>
      <c r="M8" s="30">
        <v>365</v>
      </c>
    </row>
    <row r="10" spans="1:64" x14ac:dyDescent="0.25">
      <c r="M10" s="50">
        <f>(M8-380)/380</f>
        <v>-3.9473684210526314E-2</v>
      </c>
    </row>
  </sheetData>
  <conditionalFormatting sqref="A2:AR3">
    <cfRule type="expression" dxfId="5" priority="1" stopIfTrue="1">
      <formula>MOD(ROW(),4)&gt;1</formula>
    </cfRule>
    <cfRule type="expression" dxfId="4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E9D7DE-40F4-4A9C-A79C-41673CBAE3AF}">
  <dimension ref="A1:BL34"/>
  <sheetViews>
    <sheetView workbookViewId="0">
      <selection sqref="A1:XFD1048576"/>
    </sheetView>
  </sheetViews>
  <sheetFormatPr defaultRowHeight="15" x14ac:dyDescent="0.25"/>
  <cols>
    <col min="1" max="1" width="14.28515625" bestFit="1" customWidth="1"/>
    <col min="2" max="2" width="28.28515625" bestFit="1" customWidth="1"/>
    <col min="3" max="3" width="9.28515625" style="25" bestFit="1" customWidth="1"/>
    <col min="4" max="4" width="11.85546875" style="15" bestFit="1" customWidth="1"/>
    <col min="5" max="5" width="5.5703125" bestFit="1" customWidth="1"/>
    <col min="6" max="6" width="16.7109375" bestFit="1" customWidth="1"/>
    <col min="7" max="7" width="11.85546875" style="15" bestFit="1" customWidth="1"/>
    <col min="8" max="8" width="14.7109375" style="15" bestFit="1" customWidth="1"/>
    <col min="9" max="9" width="12.85546875" style="20" bestFit="1" customWidth="1"/>
    <col min="10" max="10" width="13.42578125" style="15" bestFit="1" customWidth="1"/>
    <col min="11" max="11" width="13.28515625" style="15" bestFit="1" customWidth="1"/>
    <col min="12" max="12" width="14.42578125" style="15" bestFit="1" customWidth="1"/>
    <col min="13" max="13" width="11.140625" style="30" bestFit="1" customWidth="1"/>
    <col min="14" max="14" width="6.42578125" style="34" bestFit="1" customWidth="1"/>
    <col min="15" max="15" width="14.28515625" style="39" bestFit="1" customWidth="1"/>
    <col min="16" max="16" width="10.7109375" style="39" bestFit="1" customWidth="1"/>
    <col min="17" max="17" width="10" style="15" bestFit="1" customWidth="1"/>
    <col min="18" max="18" width="12" style="15" bestFit="1" customWidth="1"/>
    <col min="19" max="19" width="11.85546875" style="44" bestFit="1" customWidth="1"/>
    <col min="20" max="20" width="11.7109375" style="39" bestFit="1" customWidth="1"/>
    <col min="21" max="21" width="8.7109375" style="4" bestFit="1" customWidth="1"/>
    <col min="22" max="22" width="10.5703125" bestFit="1" customWidth="1"/>
    <col min="23" max="23" width="19.42578125" bestFit="1" customWidth="1"/>
    <col min="24" max="24" width="26.7109375" bestFit="1" customWidth="1"/>
    <col min="25" max="25" width="6.85546875" bestFit="1" customWidth="1"/>
    <col min="26" max="26" width="6.42578125" bestFit="1" customWidth="1"/>
    <col min="27" max="27" width="15" bestFit="1" customWidth="1"/>
    <col min="28" max="28" width="12.42578125" bestFit="1" customWidth="1"/>
    <col min="29" max="29" width="5.42578125" bestFit="1" customWidth="1"/>
    <col min="30" max="30" width="17.42578125" bestFit="1" customWidth="1"/>
    <col min="31" max="31" width="13.42578125" bestFit="1" customWidth="1"/>
    <col min="32" max="32" width="12.42578125" bestFit="1" customWidth="1"/>
    <col min="33" max="33" width="18" bestFit="1" customWidth="1"/>
    <col min="34" max="34" width="6.85546875" bestFit="1" customWidth="1"/>
    <col min="35" max="35" width="13.140625" bestFit="1" customWidth="1"/>
    <col min="36" max="36" width="6.5703125" bestFit="1" customWidth="1"/>
    <col min="37" max="37" width="19.85546875" bestFit="1" customWidth="1"/>
    <col min="38" max="38" width="16.42578125" bestFit="1" customWidth="1"/>
    <col min="39" max="39" width="15.42578125" bestFit="1" customWidth="1"/>
    <col min="40" max="40" width="11" bestFit="1" customWidth="1"/>
    <col min="41" max="41" width="16.85546875" bestFit="1" customWidth="1"/>
    <col min="42" max="42" width="21.5703125" bestFit="1" customWidth="1"/>
    <col min="43" max="43" width="21" bestFit="1" customWidth="1"/>
    <col min="44" max="44" width="16.5703125" bestFit="1" customWidth="1"/>
  </cols>
  <sheetData>
    <row r="1" spans="1:64" x14ac:dyDescent="0.25">
      <c r="A1" s="1" t="s">
        <v>0</v>
      </c>
      <c r="B1" s="1" t="s">
        <v>1</v>
      </c>
      <c r="C1" s="24" t="s">
        <v>2</v>
      </c>
      <c r="D1" s="14" t="s">
        <v>3</v>
      </c>
      <c r="E1" s="1" t="s">
        <v>4</v>
      </c>
      <c r="F1" s="1" t="s">
        <v>5</v>
      </c>
      <c r="G1" s="14" t="s">
        <v>6</v>
      </c>
      <c r="H1" s="14" t="s">
        <v>7</v>
      </c>
      <c r="I1" s="19" t="s">
        <v>8</v>
      </c>
      <c r="J1" s="14" t="s">
        <v>9</v>
      </c>
      <c r="K1" s="14" t="s">
        <v>10</v>
      </c>
      <c r="L1" s="14" t="s">
        <v>11</v>
      </c>
      <c r="M1" s="29" t="s">
        <v>12</v>
      </c>
      <c r="N1" s="33" t="s">
        <v>13</v>
      </c>
      <c r="O1" s="38" t="s">
        <v>14</v>
      </c>
      <c r="P1" s="38" t="s">
        <v>15</v>
      </c>
      <c r="Q1" s="14" t="s">
        <v>16</v>
      </c>
      <c r="R1" s="14" t="s">
        <v>17</v>
      </c>
      <c r="S1" s="43" t="s">
        <v>18</v>
      </c>
      <c r="T1" s="38" t="s">
        <v>19</v>
      </c>
      <c r="U1" s="3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</row>
    <row r="2" spans="1:64" x14ac:dyDescent="0.25">
      <c r="A2" t="s">
        <v>44</v>
      </c>
      <c r="B2" t="s">
        <v>45</v>
      </c>
      <c r="C2" s="25">
        <v>45065</v>
      </c>
      <c r="D2" s="15">
        <v>2000000</v>
      </c>
      <c r="E2" t="s">
        <v>46</v>
      </c>
      <c r="F2" t="s">
        <v>47</v>
      </c>
      <c r="G2" s="15">
        <v>2000000</v>
      </c>
      <c r="H2" s="15">
        <v>853900</v>
      </c>
      <c r="I2" s="20">
        <f>H2/G2*100</f>
        <v>42.695</v>
      </c>
      <c r="J2" s="15">
        <v>2024360</v>
      </c>
      <c r="K2" s="15">
        <f>G2-1598035</f>
        <v>401965</v>
      </c>
      <c r="L2" s="15">
        <v>388885</v>
      </c>
      <c r="M2" s="30">
        <v>566.66999999999996</v>
      </c>
      <c r="N2" s="34">
        <v>0</v>
      </c>
      <c r="O2" s="39">
        <v>13.1</v>
      </c>
      <c r="P2" s="39">
        <v>12.88</v>
      </c>
      <c r="Q2" s="15">
        <f>K2/M2</f>
        <v>709.3458273774861</v>
      </c>
      <c r="R2" s="15">
        <f>K2/O2</f>
        <v>30684.35114503817</v>
      </c>
      <c r="S2" s="44">
        <f>K2/O2/43560</f>
        <v>0.70441577467948047</v>
      </c>
      <c r="T2" s="39">
        <v>566.66999999999996</v>
      </c>
      <c r="U2" s="5" t="s">
        <v>48</v>
      </c>
      <c r="V2" t="s">
        <v>49</v>
      </c>
      <c r="W2" t="s">
        <v>50</v>
      </c>
      <c r="X2" t="s">
        <v>51</v>
      </c>
      <c r="Y2">
        <v>0</v>
      </c>
      <c r="Z2">
        <v>1</v>
      </c>
      <c r="AA2" s="6">
        <v>41935</v>
      </c>
      <c r="AB2" t="s">
        <v>52</v>
      </c>
      <c r="AC2" s="7" t="s">
        <v>53</v>
      </c>
      <c r="AD2" t="s">
        <v>54</v>
      </c>
      <c r="AL2" s="2"/>
      <c r="BC2" s="2"/>
      <c r="BE2" s="2"/>
    </row>
    <row r="3" spans="1:64" x14ac:dyDescent="0.25">
      <c r="A3" t="s">
        <v>55</v>
      </c>
      <c r="B3" t="s">
        <v>56</v>
      </c>
      <c r="C3" s="25">
        <v>45278</v>
      </c>
      <c r="D3" s="15">
        <v>750000</v>
      </c>
      <c r="E3" t="s">
        <v>46</v>
      </c>
      <c r="F3" t="s">
        <v>47</v>
      </c>
      <c r="G3" s="15">
        <v>750000</v>
      </c>
      <c r="H3" s="15">
        <v>331100</v>
      </c>
      <c r="I3" s="20">
        <f>H3/G3*100</f>
        <v>44.146666666666668</v>
      </c>
      <c r="J3" s="15">
        <v>669890</v>
      </c>
      <c r="K3" s="15">
        <f>G3-546960</f>
        <v>203040</v>
      </c>
      <c r="L3" s="15">
        <v>122930</v>
      </c>
      <c r="M3" s="30">
        <v>258.8</v>
      </c>
      <c r="N3" s="34">
        <v>585.330017</v>
      </c>
      <c r="O3" s="39">
        <v>3.4780000000000002</v>
      </c>
      <c r="P3" s="39">
        <v>3.4780000000000002</v>
      </c>
      <c r="Q3" s="15">
        <f>K3/M3</f>
        <v>784.54404945904173</v>
      </c>
      <c r="R3" s="15">
        <f>K3/O3</f>
        <v>58378.378378378373</v>
      </c>
      <c r="S3" s="44">
        <f>K3/O3/43560</f>
        <v>1.3401831583649764</v>
      </c>
      <c r="T3" s="39">
        <v>258.8</v>
      </c>
      <c r="U3" s="5" t="s">
        <v>57</v>
      </c>
      <c r="V3" t="s">
        <v>58</v>
      </c>
      <c r="X3" t="s">
        <v>51</v>
      </c>
      <c r="Y3">
        <v>0</v>
      </c>
      <c r="Z3">
        <v>1</v>
      </c>
      <c r="AA3" s="6">
        <v>42297</v>
      </c>
      <c r="AB3" t="s">
        <v>52</v>
      </c>
      <c r="AC3" s="7" t="s">
        <v>53</v>
      </c>
      <c r="AD3" t="s">
        <v>59</v>
      </c>
    </row>
    <row r="4" spans="1:64" x14ac:dyDescent="0.25">
      <c r="A4" t="s">
        <v>60</v>
      </c>
      <c r="B4" t="s">
        <v>61</v>
      </c>
      <c r="C4" s="25">
        <v>45259</v>
      </c>
      <c r="D4" s="15">
        <v>400000</v>
      </c>
      <c r="E4" t="s">
        <v>46</v>
      </c>
      <c r="F4" t="s">
        <v>47</v>
      </c>
      <c r="G4" s="15">
        <v>400000</v>
      </c>
      <c r="H4" s="15">
        <v>204700</v>
      </c>
      <c r="I4" s="20">
        <f>H4/G4*100</f>
        <v>51.175000000000004</v>
      </c>
      <c r="J4" s="15">
        <v>393043</v>
      </c>
      <c r="K4" s="15">
        <f>G4-278043</f>
        <v>121957</v>
      </c>
      <c r="L4" s="15">
        <v>115000</v>
      </c>
      <c r="M4" s="30">
        <v>100</v>
      </c>
      <c r="N4" s="34">
        <v>250</v>
      </c>
      <c r="O4" s="39">
        <v>0.57399999999999995</v>
      </c>
      <c r="P4" s="39">
        <v>0.57399999999999995</v>
      </c>
      <c r="Q4" s="15">
        <f>K4/M4</f>
        <v>1219.57</v>
      </c>
      <c r="R4" s="15">
        <f>K4/O4</f>
        <v>212468.6411149826</v>
      </c>
      <c r="S4" s="44">
        <f>K4/O4/43560</f>
        <v>4.8776088410234761</v>
      </c>
      <c r="T4" s="39">
        <v>100</v>
      </c>
      <c r="U4" s="5" t="s">
        <v>48</v>
      </c>
      <c r="V4" t="s">
        <v>62</v>
      </c>
      <c r="X4" t="s">
        <v>51</v>
      </c>
      <c r="Y4">
        <v>0</v>
      </c>
      <c r="Z4">
        <v>0</v>
      </c>
      <c r="AA4" s="6">
        <v>45501</v>
      </c>
      <c r="AB4" t="s">
        <v>52</v>
      </c>
      <c r="AC4" s="7" t="s">
        <v>53</v>
      </c>
      <c r="AD4" t="s">
        <v>63</v>
      </c>
    </row>
    <row r="5" spans="1:64" x14ac:dyDescent="0.25">
      <c r="A5" t="s">
        <v>64</v>
      </c>
      <c r="B5" t="s">
        <v>65</v>
      </c>
      <c r="C5" s="25">
        <v>45359</v>
      </c>
      <c r="D5" s="15">
        <v>551000</v>
      </c>
      <c r="E5" t="s">
        <v>46</v>
      </c>
      <c r="F5" t="s">
        <v>47</v>
      </c>
      <c r="G5" s="15">
        <v>551000</v>
      </c>
      <c r="H5" s="15">
        <v>164400</v>
      </c>
      <c r="I5" s="20">
        <f>H5/G5*100</f>
        <v>29.836660617059891</v>
      </c>
      <c r="J5" s="15">
        <v>388141</v>
      </c>
      <c r="K5" s="15">
        <f>G5-0</f>
        <v>551000</v>
      </c>
      <c r="L5" s="15">
        <v>388141</v>
      </c>
      <c r="M5" s="30">
        <v>128</v>
      </c>
      <c r="N5" s="34">
        <v>0</v>
      </c>
      <c r="O5" s="39">
        <v>3</v>
      </c>
      <c r="P5" s="39">
        <v>3</v>
      </c>
      <c r="Q5" s="15">
        <f>K5/M5</f>
        <v>4304.6875</v>
      </c>
      <c r="R5" s="15">
        <f>K5/O5</f>
        <v>183666.66666666666</v>
      </c>
      <c r="S5" s="44">
        <f>K5/O5/43560</f>
        <v>4.216406489133762</v>
      </c>
      <c r="T5" s="39">
        <v>128</v>
      </c>
      <c r="U5" s="5" t="s">
        <v>48</v>
      </c>
      <c r="V5" t="s">
        <v>66</v>
      </c>
      <c r="X5" t="s">
        <v>51</v>
      </c>
      <c r="Y5">
        <v>0</v>
      </c>
      <c r="Z5">
        <v>0</v>
      </c>
      <c r="AA5" s="6">
        <v>45501</v>
      </c>
      <c r="AB5" t="s">
        <v>67</v>
      </c>
      <c r="AC5" s="7" t="s">
        <v>68</v>
      </c>
      <c r="AD5" t="s">
        <v>69</v>
      </c>
    </row>
    <row r="6" spans="1:64" x14ac:dyDescent="0.25">
      <c r="A6" t="s">
        <v>70</v>
      </c>
      <c r="B6" t="s">
        <v>71</v>
      </c>
      <c r="C6" s="25">
        <v>45026</v>
      </c>
      <c r="D6" s="15">
        <v>245000</v>
      </c>
      <c r="E6" t="s">
        <v>46</v>
      </c>
      <c r="F6" t="s">
        <v>47</v>
      </c>
      <c r="G6" s="15">
        <v>245000</v>
      </c>
      <c r="H6" s="15">
        <v>54200</v>
      </c>
      <c r="I6" s="20">
        <f>H6/G6*100</f>
        <v>22.122448979591837</v>
      </c>
      <c r="J6" s="15">
        <v>202210</v>
      </c>
      <c r="K6" s="15">
        <f>G6-0</f>
        <v>245000</v>
      </c>
      <c r="L6" s="15">
        <v>202210</v>
      </c>
      <c r="M6" s="30">
        <v>277</v>
      </c>
      <c r="N6" s="34">
        <v>0</v>
      </c>
      <c r="O6" s="39">
        <v>2.71</v>
      </c>
      <c r="P6" s="39">
        <v>2.71</v>
      </c>
      <c r="Q6" s="15">
        <f>K6/M6</f>
        <v>884.47653429602883</v>
      </c>
      <c r="R6" s="15">
        <f>K6/O6</f>
        <v>90405.904059040593</v>
      </c>
      <c r="S6" s="44">
        <f>K6/O6/43560</f>
        <v>2.0754339774802708</v>
      </c>
      <c r="T6" s="39">
        <v>277</v>
      </c>
      <c r="U6" s="5" t="s">
        <v>48</v>
      </c>
      <c r="V6" t="s">
        <v>72</v>
      </c>
      <c r="X6" t="s">
        <v>51</v>
      </c>
      <c r="Y6">
        <v>0</v>
      </c>
      <c r="Z6">
        <v>0</v>
      </c>
      <c r="AA6" t="s">
        <v>73</v>
      </c>
      <c r="AC6" s="7" t="s">
        <v>68</v>
      </c>
      <c r="AD6" t="s">
        <v>74</v>
      </c>
    </row>
    <row r="7" spans="1:64" x14ac:dyDescent="0.25">
      <c r="A7" t="s">
        <v>75</v>
      </c>
      <c r="B7" t="s">
        <v>76</v>
      </c>
      <c r="C7" s="25">
        <v>44995</v>
      </c>
      <c r="D7" s="15">
        <v>218000</v>
      </c>
      <c r="E7" t="s">
        <v>46</v>
      </c>
      <c r="F7" t="s">
        <v>47</v>
      </c>
      <c r="G7" s="15">
        <v>218000</v>
      </c>
      <c r="H7" s="15">
        <v>0</v>
      </c>
      <c r="I7" s="20">
        <f>H7/G7*100</f>
        <v>0</v>
      </c>
      <c r="J7" s="15">
        <v>163520</v>
      </c>
      <c r="K7" s="15">
        <f>G7-0</f>
        <v>218000</v>
      </c>
      <c r="L7" s="15">
        <v>163520</v>
      </c>
      <c r="M7" s="30">
        <v>224</v>
      </c>
      <c r="N7" s="34">
        <v>0</v>
      </c>
      <c r="O7" s="39">
        <v>2.71</v>
      </c>
      <c r="P7" s="39">
        <v>2.71</v>
      </c>
      <c r="Q7" s="15">
        <f>K7/M7</f>
        <v>973.21428571428567</v>
      </c>
      <c r="R7" s="15">
        <f>K7/O7</f>
        <v>80442.804428044285</v>
      </c>
      <c r="S7" s="44">
        <f>K7/O7/43560</f>
        <v>1.8467126820028532</v>
      </c>
      <c r="T7" s="39">
        <v>224</v>
      </c>
      <c r="U7" s="5" t="s">
        <v>48</v>
      </c>
      <c r="V7" t="s">
        <v>77</v>
      </c>
      <c r="X7" t="s">
        <v>51</v>
      </c>
      <c r="Y7">
        <v>0</v>
      </c>
      <c r="Z7">
        <v>0</v>
      </c>
      <c r="AA7" t="s">
        <v>73</v>
      </c>
      <c r="AC7" s="7" t="s">
        <v>68</v>
      </c>
      <c r="AD7" t="s">
        <v>74</v>
      </c>
    </row>
    <row r="8" spans="1:64" x14ac:dyDescent="0.25">
      <c r="A8" t="s">
        <v>78</v>
      </c>
      <c r="B8" t="s">
        <v>79</v>
      </c>
      <c r="C8" s="25">
        <v>44935</v>
      </c>
      <c r="D8" s="15">
        <v>200000</v>
      </c>
      <c r="E8" t="s">
        <v>46</v>
      </c>
      <c r="F8" t="s">
        <v>47</v>
      </c>
      <c r="G8" s="15">
        <v>200000</v>
      </c>
      <c r="H8" s="15">
        <v>0</v>
      </c>
      <c r="I8" s="20">
        <f>H8/G8*100</f>
        <v>0</v>
      </c>
      <c r="J8" s="15">
        <v>315529</v>
      </c>
      <c r="K8" s="15">
        <f>G8-145439</f>
        <v>54561</v>
      </c>
      <c r="L8" s="15">
        <v>170090</v>
      </c>
      <c r="M8" s="30">
        <v>233</v>
      </c>
      <c r="N8" s="34">
        <v>0</v>
      </c>
      <c r="O8" s="39">
        <v>2.71</v>
      </c>
      <c r="P8" s="39">
        <v>2.71</v>
      </c>
      <c r="Q8" s="15">
        <f>K8/M8</f>
        <v>234.16738197424894</v>
      </c>
      <c r="R8" s="15">
        <f>K8/O8</f>
        <v>20133.210332103321</v>
      </c>
      <c r="S8" s="44">
        <f>K8/O8/43560</f>
        <v>0.46219491120531042</v>
      </c>
      <c r="T8" s="39">
        <v>233</v>
      </c>
      <c r="U8" s="5" t="s">
        <v>48</v>
      </c>
      <c r="V8" t="s">
        <v>80</v>
      </c>
      <c r="X8" t="s">
        <v>51</v>
      </c>
      <c r="Y8">
        <v>0</v>
      </c>
      <c r="Z8">
        <v>0</v>
      </c>
      <c r="AA8" t="s">
        <v>73</v>
      </c>
      <c r="AC8" s="7" t="s">
        <v>53</v>
      </c>
      <c r="AD8" t="s">
        <v>74</v>
      </c>
    </row>
    <row r="9" spans="1:64" x14ac:dyDescent="0.25">
      <c r="A9" t="s">
        <v>81</v>
      </c>
      <c r="B9" t="s">
        <v>82</v>
      </c>
      <c r="C9" s="25">
        <v>44904</v>
      </c>
      <c r="D9" s="15">
        <v>1600000</v>
      </c>
      <c r="E9" t="s">
        <v>46</v>
      </c>
      <c r="F9" t="s">
        <v>47</v>
      </c>
      <c r="G9" s="15">
        <v>1600000</v>
      </c>
      <c r="H9" s="15">
        <v>518600</v>
      </c>
      <c r="I9" s="20">
        <f>H9/G9*100</f>
        <v>32.412500000000001</v>
      </c>
      <c r="J9" s="15">
        <v>1573207</v>
      </c>
      <c r="K9" s="15">
        <f>G9-974992</f>
        <v>625008</v>
      </c>
      <c r="L9" s="15">
        <v>598215</v>
      </c>
      <c r="M9" s="30">
        <v>729.53</v>
      </c>
      <c r="N9" s="34">
        <v>0</v>
      </c>
      <c r="O9" s="39">
        <v>8.8000000000000007</v>
      </c>
      <c r="P9" s="39">
        <v>8.8000000000000007</v>
      </c>
      <c r="Q9" s="15">
        <f>K9/M9</f>
        <v>856.7269337792826</v>
      </c>
      <c r="R9" s="15">
        <f>K9/O9</f>
        <v>71023.636363636353</v>
      </c>
      <c r="S9" s="44">
        <f>K9/O9/43560</f>
        <v>1.6304783370899072</v>
      </c>
      <c r="T9" s="39">
        <v>729.53</v>
      </c>
      <c r="U9" s="5" t="s">
        <v>48</v>
      </c>
      <c r="V9" t="s">
        <v>83</v>
      </c>
      <c r="X9" t="s">
        <v>51</v>
      </c>
      <c r="Y9">
        <v>0</v>
      </c>
      <c r="Z9">
        <v>1</v>
      </c>
      <c r="AA9" s="6">
        <v>44944</v>
      </c>
      <c r="AB9" t="s">
        <v>52</v>
      </c>
      <c r="AC9" s="7" t="s">
        <v>53</v>
      </c>
      <c r="AD9" t="s">
        <v>84</v>
      </c>
    </row>
    <row r="10" spans="1:64" x14ac:dyDescent="0.25">
      <c r="A10" t="s">
        <v>85</v>
      </c>
      <c r="B10" t="s">
        <v>86</v>
      </c>
      <c r="C10" s="25">
        <v>44844</v>
      </c>
      <c r="D10" s="15">
        <v>1100000</v>
      </c>
      <c r="E10" t="s">
        <v>46</v>
      </c>
      <c r="F10" t="s">
        <v>47</v>
      </c>
      <c r="G10" s="15">
        <v>1100000</v>
      </c>
      <c r="H10" s="15">
        <v>493800</v>
      </c>
      <c r="I10" s="20">
        <f>H10/G10*100</f>
        <v>44.890909090909091</v>
      </c>
      <c r="J10" s="15">
        <v>1265066</v>
      </c>
      <c r="K10" s="15">
        <f>G10-949676</f>
        <v>150324</v>
      </c>
      <c r="L10" s="15">
        <v>315390</v>
      </c>
      <c r="M10" s="30">
        <v>549.46</v>
      </c>
      <c r="N10" s="34">
        <v>0</v>
      </c>
      <c r="O10" s="39">
        <v>5.76</v>
      </c>
      <c r="P10" s="39">
        <v>5.76</v>
      </c>
      <c r="Q10" s="15">
        <f>K10/M10</f>
        <v>273.58497433844138</v>
      </c>
      <c r="R10" s="15">
        <f>K10/O10</f>
        <v>26097.916666666668</v>
      </c>
      <c r="S10" s="44">
        <f>K10/O10/43560</f>
        <v>0.59912572696663613</v>
      </c>
      <c r="T10" s="39">
        <v>549.46</v>
      </c>
      <c r="U10" s="5" t="s">
        <v>48</v>
      </c>
      <c r="V10" t="s">
        <v>87</v>
      </c>
      <c r="X10" t="s">
        <v>51</v>
      </c>
      <c r="Y10">
        <v>0</v>
      </c>
      <c r="Z10">
        <v>1</v>
      </c>
      <c r="AA10" s="6">
        <v>40021</v>
      </c>
      <c r="AB10" t="s">
        <v>52</v>
      </c>
      <c r="AC10" s="7" t="s">
        <v>53</v>
      </c>
      <c r="AD10" t="s">
        <v>84</v>
      </c>
    </row>
    <row r="11" spans="1:64" x14ac:dyDescent="0.25">
      <c r="A11" t="s">
        <v>88</v>
      </c>
      <c r="B11" t="s">
        <v>89</v>
      </c>
      <c r="C11" s="25">
        <v>44914</v>
      </c>
      <c r="D11" s="15">
        <v>35000</v>
      </c>
      <c r="E11" t="s">
        <v>46</v>
      </c>
      <c r="F11" t="s">
        <v>47</v>
      </c>
      <c r="G11" s="15">
        <v>35000</v>
      </c>
      <c r="H11" s="15">
        <v>12700</v>
      </c>
      <c r="I11" s="20">
        <f>H11/G11*100</f>
        <v>36.285714285714285</v>
      </c>
      <c r="J11" s="15">
        <v>29748</v>
      </c>
      <c r="K11" s="15">
        <f>G11-0</f>
        <v>35000</v>
      </c>
      <c r="L11" s="15">
        <v>29748</v>
      </c>
      <c r="M11" s="30">
        <v>200</v>
      </c>
      <c r="N11" s="34">
        <v>0</v>
      </c>
      <c r="O11" s="39">
        <v>3.28</v>
      </c>
      <c r="P11" s="39">
        <v>3.28</v>
      </c>
      <c r="Q11" s="15">
        <f>K11/M11</f>
        <v>175</v>
      </c>
      <c r="R11" s="15">
        <f>K11/O11</f>
        <v>10670.731707317074</v>
      </c>
      <c r="S11" s="44">
        <f>K11/O11/43560</f>
        <v>0.24496629263813302</v>
      </c>
      <c r="T11" s="39">
        <v>200</v>
      </c>
      <c r="U11" s="5" t="s">
        <v>48</v>
      </c>
      <c r="V11" t="s">
        <v>90</v>
      </c>
      <c r="X11" t="s">
        <v>51</v>
      </c>
      <c r="Y11">
        <v>0</v>
      </c>
      <c r="Z11">
        <v>0</v>
      </c>
      <c r="AA11" t="s">
        <v>73</v>
      </c>
      <c r="AB11" t="s">
        <v>67</v>
      </c>
      <c r="AC11" s="7" t="s">
        <v>91</v>
      </c>
      <c r="AD11" t="s">
        <v>69</v>
      </c>
    </row>
    <row r="12" spans="1:64" x14ac:dyDescent="0.25">
      <c r="A12" t="s">
        <v>92</v>
      </c>
      <c r="B12" t="s">
        <v>93</v>
      </c>
      <c r="C12" s="25">
        <v>44831</v>
      </c>
      <c r="D12" s="15">
        <v>900000</v>
      </c>
      <c r="E12" t="s">
        <v>46</v>
      </c>
      <c r="F12" t="s">
        <v>47</v>
      </c>
      <c r="G12" s="15">
        <v>900000</v>
      </c>
      <c r="H12" s="15">
        <v>321900</v>
      </c>
      <c r="I12" s="20">
        <f>H12/G12*100</f>
        <v>35.766666666666666</v>
      </c>
      <c r="J12" s="15">
        <v>731432</v>
      </c>
      <c r="K12" s="15">
        <f>G12-503672</f>
        <v>396328</v>
      </c>
      <c r="L12" s="15">
        <v>227760</v>
      </c>
      <c r="M12" s="30">
        <v>312</v>
      </c>
      <c r="N12" s="34">
        <v>0</v>
      </c>
      <c r="O12" s="39">
        <v>5.4749999999999996</v>
      </c>
      <c r="P12" s="39">
        <v>5.4749999999999996</v>
      </c>
      <c r="Q12" s="15">
        <f>K12/M12</f>
        <v>1270.2820512820513</v>
      </c>
      <c r="R12" s="15">
        <f>K12/O12</f>
        <v>72388.675799086763</v>
      </c>
      <c r="S12" s="44">
        <f>K12/O12/43560</f>
        <v>1.6618153305575474</v>
      </c>
      <c r="T12" s="39">
        <v>312</v>
      </c>
      <c r="U12" s="5" t="s">
        <v>94</v>
      </c>
      <c r="V12" t="s">
        <v>95</v>
      </c>
      <c r="X12" t="s">
        <v>51</v>
      </c>
      <c r="Y12">
        <v>0</v>
      </c>
      <c r="Z12">
        <v>0</v>
      </c>
      <c r="AA12" s="6">
        <v>45191</v>
      </c>
      <c r="AB12" t="s">
        <v>52</v>
      </c>
      <c r="AC12" s="7" t="s">
        <v>91</v>
      </c>
      <c r="AD12" t="s">
        <v>96</v>
      </c>
    </row>
    <row r="13" spans="1:64" x14ac:dyDescent="0.25">
      <c r="A13" t="s">
        <v>97</v>
      </c>
      <c r="B13" t="s">
        <v>98</v>
      </c>
      <c r="C13" s="25">
        <v>45264</v>
      </c>
      <c r="D13" s="15">
        <v>285000</v>
      </c>
      <c r="E13" t="s">
        <v>46</v>
      </c>
      <c r="F13" t="s">
        <v>47</v>
      </c>
      <c r="G13" s="15">
        <v>285000</v>
      </c>
      <c r="H13" s="15">
        <v>90100</v>
      </c>
      <c r="I13" s="20">
        <f>H13/G13*100</f>
        <v>31.614035087719301</v>
      </c>
      <c r="J13" s="15">
        <v>251750</v>
      </c>
      <c r="K13" s="15">
        <f>G13-0</f>
        <v>285000</v>
      </c>
      <c r="L13" s="15">
        <v>251750</v>
      </c>
      <c r="M13" s="30">
        <v>530</v>
      </c>
      <c r="N13" s="34">
        <v>0</v>
      </c>
      <c r="O13" s="39">
        <v>3.29</v>
      </c>
      <c r="P13" s="39">
        <v>3.29</v>
      </c>
      <c r="Q13" s="15">
        <f>K13/M13</f>
        <v>537.7358490566038</v>
      </c>
      <c r="R13" s="15">
        <f>K13/O13</f>
        <v>86626.139817629184</v>
      </c>
      <c r="S13" s="44">
        <f>K13/O13/43560</f>
        <v>1.9886625302486038</v>
      </c>
      <c r="T13" s="39">
        <v>530</v>
      </c>
      <c r="U13" s="5" t="s">
        <v>94</v>
      </c>
      <c r="V13" t="s">
        <v>99</v>
      </c>
      <c r="X13" t="s">
        <v>51</v>
      </c>
      <c r="Y13">
        <v>0</v>
      </c>
      <c r="Z13">
        <v>0</v>
      </c>
      <c r="AA13" t="s">
        <v>73</v>
      </c>
      <c r="AB13" t="s">
        <v>67</v>
      </c>
      <c r="AC13" s="7" t="s">
        <v>68</v>
      </c>
      <c r="AD13" t="s">
        <v>59</v>
      </c>
    </row>
    <row r="14" spans="1:64" x14ac:dyDescent="0.25">
      <c r="A14" t="s">
        <v>100</v>
      </c>
      <c r="B14" t="s">
        <v>101</v>
      </c>
      <c r="C14" s="25">
        <v>45351</v>
      </c>
      <c r="D14" s="15">
        <v>200000</v>
      </c>
      <c r="E14" t="s">
        <v>46</v>
      </c>
      <c r="F14" t="s">
        <v>47</v>
      </c>
      <c r="G14" s="15">
        <v>200000</v>
      </c>
      <c r="H14" s="15">
        <v>0</v>
      </c>
      <c r="I14" s="20">
        <f>H14/G14*100</f>
        <v>0</v>
      </c>
      <c r="J14" s="15">
        <v>212520</v>
      </c>
      <c r="K14" s="15">
        <f>G14-0</f>
        <v>200000</v>
      </c>
      <c r="L14" s="15">
        <v>212520</v>
      </c>
      <c r="M14" s="30">
        <v>154</v>
      </c>
      <c r="N14" s="34">
        <v>613.48498500000005</v>
      </c>
      <c r="O14" s="39">
        <v>2.169</v>
      </c>
      <c r="P14" s="39">
        <v>2.169</v>
      </c>
      <c r="Q14" s="15">
        <f>K14/M14</f>
        <v>1298.7012987012988</v>
      </c>
      <c r="R14" s="15">
        <f>K14/O14</f>
        <v>92208.39096357768</v>
      </c>
      <c r="S14" s="44">
        <f>K14/O14/43560</f>
        <v>2.1168133830022424</v>
      </c>
      <c r="T14" s="39">
        <v>154</v>
      </c>
      <c r="U14" s="5" t="s">
        <v>48</v>
      </c>
      <c r="V14" t="s">
        <v>102</v>
      </c>
      <c r="X14" t="s">
        <v>51</v>
      </c>
      <c r="Y14">
        <v>0</v>
      </c>
      <c r="Z14">
        <v>0</v>
      </c>
      <c r="AA14" t="s">
        <v>73</v>
      </c>
      <c r="AC14" s="7" t="s">
        <v>68</v>
      </c>
      <c r="AD14" t="s">
        <v>54</v>
      </c>
    </row>
    <row r="15" spans="1:64" x14ac:dyDescent="0.25">
      <c r="A15" t="s">
        <v>103</v>
      </c>
      <c r="B15" t="s">
        <v>104</v>
      </c>
      <c r="C15" s="25">
        <v>45351</v>
      </c>
      <c r="D15" s="15">
        <v>225000</v>
      </c>
      <c r="E15" t="s">
        <v>46</v>
      </c>
      <c r="F15" t="s">
        <v>47</v>
      </c>
      <c r="G15" s="15">
        <v>225000</v>
      </c>
      <c r="H15" s="15">
        <v>0</v>
      </c>
      <c r="I15" s="20">
        <f>H15/G15*100</f>
        <v>0</v>
      </c>
      <c r="J15" s="15">
        <v>214825</v>
      </c>
      <c r="K15" s="15">
        <f>G15-0</f>
        <v>225000</v>
      </c>
      <c r="L15" s="15">
        <v>214825</v>
      </c>
      <c r="M15" s="30">
        <v>155.66999999999999</v>
      </c>
      <c r="N15" s="34">
        <v>613.48498500000005</v>
      </c>
      <c r="O15" s="39">
        <v>2.1920000000000002</v>
      </c>
      <c r="P15" s="39">
        <v>2.1920000000000002</v>
      </c>
      <c r="Q15" s="15">
        <f>K15/M15</f>
        <v>1445.3651956060899</v>
      </c>
      <c r="R15" s="15">
        <f>K15/O15</f>
        <v>102645.98540145985</v>
      </c>
      <c r="S15" s="44">
        <f>K15/O15/43560</f>
        <v>2.3564275803824577</v>
      </c>
      <c r="T15" s="39">
        <v>155.66999999999999</v>
      </c>
      <c r="U15" s="5" t="s">
        <v>48</v>
      </c>
      <c r="V15" t="s">
        <v>105</v>
      </c>
      <c r="X15" t="s">
        <v>51</v>
      </c>
      <c r="Y15">
        <v>0</v>
      </c>
      <c r="Z15">
        <v>0</v>
      </c>
      <c r="AA15" t="s">
        <v>73</v>
      </c>
      <c r="AC15" s="7" t="s">
        <v>68</v>
      </c>
      <c r="AD15" t="s">
        <v>54</v>
      </c>
    </row>
    <row r="16" spans="1:64" x14ac:dyDescent="0.25">
      <c r="A16" t="s">
        <v>106</v>
      </c>
      <c r="B16" t="s">
        <v>107</v>
      </c>
      <c r="C16" s="25">
        <v>45161</v>
      </c>
      <c r="D16" s="15">
        <v>655000</v>
      </c>
      <c r="E16" t="s">
        <v>46</v>
      </c>
      <c r="F16" t="s">
        <v>47</v>
      </c>
      <c r="G16" s="15">
        <v>655000</v>
      </c>
      <c r="H16" s="15">
        <v>305200</v>
      </c>
      <c r="I16" s="20">
        <f>H16/G16*100</f>
        <v>46.595419847328245</v>
      </c>
      <c r="J16" s="15">
        <v>699957</v>
      </c>
      <c r="K16" s="15">
        <f>G16-568557</f>
        <v>86443</v>
      </c>
      <c r="L16" s="15">
        <v>131400</v>
      </c>
      <c r="M16" s="30">
        <v>180</v>
      </c>
      <c r="N16" s="34">
        <v>0</v>
      </c>
      <c r="O16" s="39">
        <v>1.248</v>
      </c>
      <c r="P16" s="39">
        <v>1.248</v>
      </c>
      <c r="Q16" s="15">
        <f>K16/M16</f>
        <v>480.23888888888888</v>
      </c>
      <c r="R16" s="15">
        <f>K16/O16</f>
        <v>69265.224358974359</v>
      </c>
      <c r="S16" s="44">
        <f>K16/O16/43560</f>
        <v>1.5901107520425701</v>
      </c>
      <c r="T16" s="39">
        <v>180</v>
      </c>
      <c r="U16" s="5" t="s">
        <v>48</v>
      </c>
      <c r="V16" t="s">
        <v>108</v>
      </c>
      <c r="X16" t="s">
        <v>51</v>
      </c>
      <c r="Y16">
        <v>0</v>
      </c>
      <c r="Z16">
        <v>1</v>
      </c>
      <c r="AA16" s="6">
        <v>45494</v>
      </c>
      <c r="AB16" t="s">
        <v>109</v>
      </c>
      <c r="AC16" s="7" t="s">
        <v>53</v>
      </c>
      <c r="AD16" t="s">
        <v>96</v>
      </c>
    </row>
    <row r="17" spans="1:44" x14ac:dyDescent="0.25">
      <c r="A17" t="s">
        <v>110</v>
      </c>
      <c r="B17" t="s">
        <v>111</v>
      </c>
      <c r="C17" s="25">
        <v>45252</v>
      </c>
      <c r="D17" s="15">
        <v>990000</v>
      </c>
      <c r="E17" t="s">
        <v>46</v>
      </c>
      <c r="F17" t="s">
        <v>47</v>
      </c>
      <c r="G17" s="15">
        <v>990000</v>
      </c>
      <c r="H17" s="15">
        <v>337500</v>
      </c>
      <c r="I17" s="20">
        <f>H17/G17*100</f>
        <v>34.090909090909086</v>
      </c>
      <c r="J17" s="15">
        <v>780588</v>
      </c>
      <c r="K17" s="15">
        <f>G17-671088</f>
        <v>318912</v>
      </c>
      <c r="L17" s="15">
        <v>109500</v>
      </c>
      <c r="M17" s="30">
        <v>150</v>
      </c>
      <c r="N17" s="34">
        <v>0</v>
      </c>
      <c r="O17" s="39">
        <v>0.92</v>
      </c>
      <c r="P17" s="39">
        <v>0.92</v>
      </c>
      <c r="Q17" s="15">
        <f>K17/M17</f>
        <v>2126.08</v>
      </c>
      <c r="R17" s="15">
        <f>K17/O17</f>
        <v>346643.47826086957</v>
      </c>
      <c r="S17" s="44">
        <f>K17/O17/43560</f>
        <v>7.9578392621870879</v>
      </c>
      <c r="T17" s="39">
        <v>150</v>
      </c>
      <c r="U17" s="5" t="s">
        <v>48</v>
      </c>
      <c r="V17" t="s">
        <v>112</v>
      </c>
      <c r="X17" t="s">
        <v>51</v>
      </c>
      <c r="Y17">
        <v>0</v>
      </c>
      <c r="Z17">
        <v>1</v>
      </c>
      <c r="AA17" s="6">
        <v>45494</v>
      </c>
      <c r="AB17" t="s">
        <v>109</v>
      </c>
      <c r="AC17" s="7" t="s">
        <v>53</v>
      </c>
      <c r="AD17" t="s">
        <v>96</v>
      </c>
    </row>
    <row r="18" spans="1:44" x14ac:dyDescent="0.25">
      <c r="A18" t="s">
        <v>113</v>
      </c>
      <c r="B18" t="s">
        <v>114</v>
      </c>
      <c r="C18" s="25">
        <v>44789</v>
      </c>
      <c r="D18" s="15">
        <v>783000</v>
      </c>
      <c r="E18" t="s">
        <v>46</v>
      </c>
      <c r="F18" t="s">
        <v>47</v>
      </c>
      <c r="G18" s="15">
        <v>783000</v>
      </c>
      <c r="H18" s="15">
        <v>320300</v>
      </c>
      <c r="I18" s="20">
        <f>H18/G18*100</f>
        <v>40.90676883780332</v>
      </c>
      <c r="J18" s="15">
        <v>915443</v>
      </c>
      <c r="K18" s="15">
        <f>G18-691883</f>
        <v>91117</v>
      </c>
      <c r="L18" s="15">
        <v>223560</v>
      </c>
      <c r="M18" s="30">
        <v>162</v>
      </c>
      <c r="N18" s="34">
        <v>0</v>
      </c>
      <c r="O18" s="39">
        <v>0.78</v>
      </c>
      <c r="P18" s="39">
        <v>0.78</v>
      </c>
      <c r="Q18" s="15">
        <f>K18/M18</f>
        <v>562.45061728395058</v>
      </c>
      <c r="R18" s="15">
        <f>K18/O18</f>
        <v>116816.66666666666</v>
      </c>
      <c r="S18" s="44">
        <f>K18/O18/43560</f>
        <v>2.6817416590143859</v>
      </c>
      <c r="T18" s="39">
        <v>162</v>
      </c>
      <c r="U18" s="5" t="s">
        <v>48</v>
      </c>
      <c r="V18" t="s">
        <v>115</v>
      </c>
      <c r="X18" t="s">
        <v>51</v>
      </c>
      <c r="Y18">
        <v>0</v>
      </c>
      <c r="Z18">
        <v>1</v>
      </c>
      <c r="AA18" s="6">
        <v>39363</v>
      </c>
      <c r="AB18" t="s">
        <v>52</v>
      </c>
      <c r="AC18" s="7" t="s">
        <v>53</v>
      </c>
      <c r="AD18" t="s">
        <v>54</v>
      </c>
    </row>
    <row r="19" spans="1:44" x14ac:dyDescent="0.25">
      <c r="A19" t="s">
        <v>116</v>
      </c>
      <c r="B19" t="s">
        <v>117</v>
      </c>
      <c r="C19" s="25">
        <v>44763</v>
      </c>
      <c r="D19" s="15">
        <v>180000</v>
      </c>
      <c r="E19" t="s">
        <v>46</v>
      </c>
      <c r="F19" t="s">
        <v>47</v>
      </c>
      <c r="G19" s="15">
        <v>180000</v>
      </c>
      <c r="H19" s="15">
        <v>49600</v>
      </c>
      <c r="I19" s="20">
        <f>H19/G19*100</f>
        <v>27.555555555555557</v>
      </c>
      <c r="J19" s="15">
        <v>207000</v>
      </c>
      <c r="K19" s="15">
        <f>G19-0</f>
        <v>180000</v>
      </c>
      <c r="L19" s="15">
        <v>207000</v>
      </c>
      <c r="M19" s="30">
        <v>150</v>
      </c>
      <c r="N19" s="34">
        <v>179</v>
      </c>
      <c r="O19" s="39">
        <v>0.61599999999999999</v>
      </c>
      <c r="P19" s="39">
        <v>0.61599999999999999</v>
      </c>
      <c r="Q19" s="15">
        <f>K19/M19</f>
        <v>1200</v>
      </c>
      <c r="R19" s="15">
        <f>K19/O19</f>
        <v>292207.79220779223</v>
      </c>
      <c r="S19" s="44">
        <f>K19/O19/43560</f>
        <v>6.7081678651926593</v>
      </c>
      <c r="T19" s="39">
        <v>150</v>
      </c>
      <c r="U19" s="5" t="s">
        <v>48</v>
      </c>
      <c r="V19" t="s">
        <v>118</v>
      </c>
      <c r="X19" t="s">
        <v>51</v>
      </c>
      <c r="Y19">
        <v>0</v>
      </c>
      <c r="Z19">
        <v>1</v>
      </c>
      <c r="AA19" t="s">
        <v>73</v>
      </c>
      <c r="AB19" t="s">
        <v>67</v>
      </c>
      <c r="AC19" s="7" t="s">
        <v>68</v>
      </c>
      <c r="AD19" t="s">
        <v>54</v>
      </c>
    </row>
    <row r="20" spans="1:44" x14ac:dyDescent="0.25">
      <c r="A20" t="s">
        <v>119</v>
      </c>
      <c r="B20" t="s">
        <v>120</v>
      </c>
      <c r="C20" s="25">
        <v>44917</v>
      </c>
      <c r="D20" s="15">
        <v>1100000</v>
      </c>
      <c r="E20" t="s">
        <v>46</v>
      </c>
      <c r="F20" t="s">
        <v>47</v>
      </c>
      <c r="G20" s="15">
        <v>1100000</v>
      </c>
      <c r="H20" s="15">
        <v>431319</v>
      </c>
      <c r="I20" s="20">
        <f>H20/G20*100</f>
        <v>39.210818181818183</v>
      </c>
      <c r="J20" s="15">
        <v>1139443</v>
      </c>
      <c r="K20" s="15">
        <f>G20-923513</f>
        <v>176487</v>
      </c>
      <c r="L20" s="15">
        <v>215930</v>
      </c>
      <c r="M20" s="30">
        <v>143</v>
      </c>
      <c r="N20" s="34">
        <v>167</v>
      </c>
      <c r="O20" s="39">
        <v>0.54800000000000004</v>
      </c>
      <c r="P20" s="39">
        <v>0.54800000000000004</v>
      </c>
      <c r="Q20" s="15">
        <f>K20/M20</f>
        <v>1234.1748251748252</v>
      </c>
      <c r="R20" s="15">
        <f>K20/O20</f>
        <v>322056.56934306567</v>
      </c>
      <c r="S20" s="44">
        <f>K20/O20/43560</f>
        <v>7.3934015000703779</v>
      </c>
      <c r="T20" s="39">
        <v>143</v>
      </c>
      <c r="U20" s="5" t="s">
        <v>48</v>
      </c>
      <c r="V20" t="s">
        <v>121</v>
      </c>
      <c r="X20" t="s">
        <v>51</v>
      </c>
      <c r="Y20">
        <v>0</v>
      </c>
      <c r="Z20">
        <v>1</v>
      </c>
      <c r="AA20" s="6">
        <v>44938</v>
      </c>
      <c r="AB20" t="s">
        <v>52</v>
      </c>
      <c r="AC20" s="7" t="s">
        <v>53</v>
      </c>
      <c r="AD20" t="s">
        <v>122</v>
      </c>
    </row>
    <row r="21" spans="1:44" x14ac:dyDescent="0.25">
      <c r="A21" t="s">
        <v>123</v>
      </c>
      <c r="B21" t="s">
        <v>124</v>
      </c>
      <c r="C21" s="25">
        <v>45128</v>
      </c>
      <c r="D21" s="15">
        <v>594500</v>
      </c>
      <c r="E21" t="s">
        <v>46</v>
      </c>
      <c r="F21" t="s">
        <v>47</v>
      </c>
      <c r="G21" s="15">
        <v>594500</v>
      </c>
      <c r="H21" s="15">
        <v>203200</v>
      </c>
      <c r="I21" s="20">
        <f>H21/G21*100</f>
        <v>34.179983179142134</v>
      </c>
      <c r="J21" s="15">
        <v>485933</v>
      </c>
      <c r="K21" s="15">
        <f>G21-424183</f>
        <v>170317</v>
      </c>
      <c r="L21" s="15">
        <v>61750</v>
      </c>
      <c r="M21" s="30">
        <v>130</v>
      </c>
      <c r="N21" s="34">
        <v>167</v>
      </c>
      <c r="O21" s="39">
        <v>0.498</v>
      </c>
      <c r="P21" s="39">
        <v>0.498</v>
      </c>
      <c r="Q21" s="15">
        <f>K21/M21</f>
        <v>1310.1307692307691</v>
      </c>
      <c r="R21" s="15">
        <f>K21/O21</f>
        <v>342002.00803212851</v>
      </c>
      <c r="S21" s="44">
        <f>K21/O21/43560</f>
        <v>7.851285767496063</v>
      </c>
      <c r="T21" s="39">
        <v>130</v>
      </c>
      <c r="U21" s="5" t="s">
        <v>48</v>
      </c>
      <c r="V21" t="s">
        <v>125</v>
      </c>
      <c r="X21" t="s">
        <v>51</v>
      </c>
      <c r="Y21">
        <v>0</v>
      </c>
      <c r="Z21">
        <v>0</v>
      </c>
      <c r="AA21" t="s">
        <v>73</v>
      </c>
      <c r="AB21" t="s">
        <v>52</v>
      </c>
      <c r="AC21" s="7" t="s">
        <v>53</v>
      </c>
      <c r="AD21" t="s">
        <v>59</v>
      </c>
    </row>
    <row r="22" spans="1:44" x14ac:dyDescent="0.25">
      <c r="A22" t="s">
        <v>126</v>
      </c>
      <c r="B22" t="s">
        <v>127</v>
      </c>
      <c r="C22" s="25">
        <v>44706</v>
      </c>
      <c r="D22" s="15">
        <v>640000</v>
      </c>
      <c r="E22" t="s">
        <v>46</v>
      </c>
      <c r="F22" t="s">
        <v>47</v>
      </c>
      <c r="G22" s="15">
        <v>640000</v>
      </c>
      <c r="H22" s="15">
        <v>164700</v>
      </c>
      <c r="I22" s="20">
        <f>H22/G22*100</f>
        <v>25.734375</v>
      </c>
      <c r="J22" s="15">
        <v>437062</v>
      </c>
      <c r="K22" s="15">
        <f>G22-375312</f>
        <v>264688</v>
      </c>
      <c r="L22" s="15">
        <v>61750</v>
      </c>
      <c r="M22" s="30">
        <v>130</v>
      </c>
      <c r="N22" s="34">
        <v>167</v>
      </c>
      <c r="O22" s="39">
        <v>0.498</v>
      </c>
      <c r="P22" s="39">
        <v>0.498</v>
      </c>
      <c r="Q22" s="15">
        <f>K22/M22</f>
        <v>2036.0615384615385</v>
      </c>
      <c r="R22" s="15">
        <f>K22/O22</f>
        <v>531502.00803212856</v>
      </c>
      <c r="S22" s="44">
        <f>K22/O22/43560</f>
        <v>12.201607163272005</v>
      </c>
      <c r="T22" s="39">
        <v>130</v>
      </c>
      <c r="U22" s="5" t="s">
        <v>48</v>
      </c>
      <c r="V22" t="s">
        <v>128</v>
      </c>
      <c r="X22" t="s">
        <v>51</v>
      </c>
      <c r="Y22">
        <v>0</v>
      </c>
      <c r="Z22">
        <v>0</v>
      </c>
      <c r="AA22" t="s">
        <v>73</v>
      </c>
      <c r="AB22" t="s">
        <v>52</v>
      </c>
      <c r="AC22" s="7" t="s">
        <v>53</v>
      </c>
      <c r="AD22" t="s">
        <v>59</v>
      </c>
    </row>
    <row r="23" spans="1:44" x14ac:dyDescent="0.25">
      <c r="A23" t="s">
        <v>129</v>
      </c>
      <c r="B23" t="s">
        <v>130</v>
      </c>
      <c r="C23" s="25">
        <v>45126</v>
      </c>
      <c r="D23" s="15">
        <v>495000</v>
      </c>
      <c r="E23" t="s">
        <v>46</v>
      </c>
      <c r="F23" t="s">
        <v>47</v>
      </c>
      <c r="G23" s="15">
        <v>495000</v>
      </c>
      <c r="H23" s="15">
        <v>250600</v>
      </c>
      <c r="I23" s="20">
        <f>H23/G23*100</f>
        <v>50.62626262626263</v>
      </c>
      <c r="J23" s="15">
        <v>492939</v>
      </c>
      <c r="K23" s="15">
        <f>G23-415989</f>
        <v>79011</v>
      </c>
      <c r="L23" s="15">
        <v>76950</v>
      </c>
      <c r="M23" s="30">
        <v>162</v>
      </c>
      <c r="N23" s="34">
        <v>167</v>
      </c>
      <c r="O23" s="39">
        <v>0.621</v>
      </c>
      <c r="P23" s="39">
        <v>0.621</v>
      </c>
      <c r="Q23" s="15">
        <f>K23/M23</f>
        <v>487.72222222222223</v>
      </c>
      <c r="R23" s="15">
        <f>K23/O23</f>
        <v>127231.88405797101</v>
      </c>
      <c r="S23" s="44">
        <f>K23/O23/43560</f>
        <v>2.9208421500911617</v>
      </c>
      <c r="T23" s="39">
        <v>162</v>
      </c>
      <c r="U23" s="5" t="s">
        <v>48</v>
      </c>
      <c r="V23" t="s">
        <v>131</v>
      </c>
      <c r="X23" t="s">
        <v>51</v>
      </c>
      <c r="Y23">
        <v>0</v>
      </c>
      <c r="Z23">
        <v>0</v>
      </c>
      <c r="AA23" t="s">
        <v>73</v>
      </c>
      <c r="AB23" t="s">
        <v>52</v>
      </c>
      <c r="AC23" s="7" t="s">
        <v>53</v>
      </c>
      <c r="AD23" t="s">
        <v>59</v>
      </c>
    </row>
    <row r="24" spans="1:44" x14ac:dyDescent="0.25">
      <c r="A24" t="s">
        <v>132</v>
      </c>
      <c r="B24" t="s">
        <v>133</v>
      </c>
      <c r="C24" s="25">
        <v>44728</v>
      </c>
      <c r="D24" s="15">
        <v>475000</v>
      </c>
      <c r="E24" t="s">
        <v>46</v>
      </c>
      <c r="F24" t="s">
        <v>47</v>
      </c>
      <c r="G24" s="15">
        <v>475000</v>
      </c>
      <c r="H24" s="15">
        <v>92500</v>
      </c>
      <c r="I24" s="20">
        <f>H24/G24*100</f>
        <v>19.473684210526315</v>
      </c>
      <c r="J24" s="15">
        <v>453633</v>
      </c>
      <c r="K24" s="15">
        <f>G24-0</f>
        <v>475000</v>
      </c>
      <c r="L24" s="15">
        <v>453633</v>
      </c>
      <c r="M24" s="30">
        <v>250</v>
      </c>
      <c r="N24" s="34">
        <v>0</v>
      </c>
      <c r="O24" s="39">
        <v>2.7</v>
      </c>
      <c r="P24" s="39">
        <v>2.7</v>
      </c>
      <c r="Q24" s="15">
        <f>K24/M24</f>
        <v>1900</v>
      </c>
      <c r="R24" s="15">
        <f>K24/O24</f>
        <v>175925.92592592593</v>
      </c>
      <c r="S24" s="44">
        <f>K24/O24/43560</f>
        <v>4.0387035336530284</v>
      </c>
      <c r="T24" s="39">
        <v>250</v>
      </c>
      <c r="U24" s="5" t="s">
        <v>48</v>
      </c>
      <c r="V24" t="s">
        <v>134</v>
      </c>
      <c r="X24" t="s">
        <v>51</v>
      </c>
      <c r="Y24">
        <v>0</v>
      </c>
      <c r="Z24">
        <v>0</v>
      </c>
      <c r="AA24" s="6">
        <v>42656</v>
      </c>
      <c r="AB24" t="s">
        <v>67</v>
      </c>
      <c r="AC24" s="7" t="s">
        <v>68</v>
      </c>
      <c r="AD24" t="s">
        <v>122</v>
      </c>
    </row>
    <row r="25" spans="1:44" x14ac:dyDescent="0.25">
      <c r="A25" t="s">
        <v>135</v>
      </c>
      <c r="B25" t="s">
        <v>136</v>
      </c>
      <c r="C25" s="25">
        <v>45044</v>
      </c>
      <c r="D25" s="15">
        <v>650000</v>
      </c>
      <c r="E25" t="s">
        <v>46</v>
      </c>
      <c r="F25" t="s">
        <v>47</v>
      </c>
      <c r="G25" s="15">
        <v>650000</v>
      </c>
      <c r="H25" s="15">
        <v>164300</v>
      </c>
      <c r="I25" s="20">
        <f>H25/G25*100</f>
        <v>25.276923076923076</v>
      </c>
      <c r="J25" s="15">
        <v>371155</v>
      </c>
      <c r="K25" s="15">
        <f>G25-227155</f>
        <v>422845</v>
      </c>
      <c r="L25" s="15">
        <v>144000</v>
      </c>
      <c r="M25" s="30">
        <v>60</v>
      </c>
      <c r="N25" s="34">
        <v>0</v>
      </c>
      <c r="O25" s="39">
        <v>0.38600000000000001</v>
      </c>
      <c r="P25" s="39">
        <v>3.29</v>
      </c>
      <c r="Q25" s="15">
        <f>K25/M25</f>
        <v>7047.416666666667</v>
      </c>
      <c r="R25" s="15">
        <f>K25/O25</f>
        <v>1095453.3678756477</v>
      </c>
      <c r="S25" s="44">
        <f>K25/O25/43560</f>
        <v>25.148148941130572</v>
      </c>
      <c r="T25" s="39">
        <v>60</v>
      </c>
      <c r="U25" s="5" t="s">
        <v>48</v>
      </c>
      <c r="V25" t="s">
        <v>137</v>
      </c>
      <c r="X25" t="s">
        <v>51</v>
      </c>
      <c r="Y25">
        <v>0</v>
      </c>
      <c r="Z25">
        <v>1</v>
      </c>
      <c r="AA25" s="6">
        <v>40007</v>
      </c>
      <c r="AB25" t="s">
        <v>52</v>
      </c>
      <c r="AC25" s="7" t="s">
        <v>53</v>
      </c>
      <c r="AD25" t="s">
        <v>69</v>
      </c>
    </row>
    <row r="26" spans="1:44" x14ac:dyDescent="0.25">
      <c r="A26" t="s">
        <v>138</v>
      </c>
      <c r="B26" t="s">
        <v>139</v>
      </c>
      <c r="C26" s="25">
        <v>45350</v>
      </c>
      <c r="D26" s="15">
        <v>915000</v>
      </c>
      <c r="E26" t="s">
        <v>46</v>
      </c>
      <c r="F26" t="s">
        <v>47</v>
      </c>
      <c r="G26" s="15">
        <v>915000</v>
      </c>
      <c r="H26" s="15">
        <v>283500</v>
      </c>
      <c r="I26" s="20">
        <f>H26/G26*100</f>
        <v>30.983606557377048</v>
      </c>
      <c r="J26" s="15">
        <v>752866</v>
      </c>
      <c r="K26" s="15">
        <f>G26-651186</f>
        <v>263814</v>
      </c>
      <c r="L26" s="15">
        <v>101680</v>
      </c>
      <c r="M26" s="30">
        <v>124</v>
      </c>
      <c r="N26" s="34">
        <v>0</v>
      </c>
      <c r="O26" s="39">
        <v>1.31</v>
      </c>
      <c r="P26" s="39">
        <v>1.31</v>
      </c>
      <c r="Q26" s="15">
        <f>K26/M26</f>
        <v>2127.5322580645161</v>
      </c>
      <c r="R26" s="15">
        <f>K26/O26</f>
        <v>201384.73282442748</v>
      </c>
      <c r="S26" s="44">
        <f>K26/O26/43560</f>
        <v>4.6231573192017326</v>
      </c>
      <c r="T26" s="39">
        <v>124</v>
      </c>
      <c r="U26" s="5" t="s">
        <v>48</v>
      </c>
      <c r="V26" t="s">
        <v>140</v>
      </c>
      <c r="X26" t="s">
        <v>51</v>
      </c>
      <c r="Y26">
        <v>0</v>
      </c>
      <c r="Z26">
        <v>1</v>
      </c>
      <c r="AA26" s="6">
        <v>45489</v>
      </c>
      <c r="AB26" t="s">
        <v>52</v>
      </c>
      <c r="AC26" s="7" t="s">
        <v>53</v>
      </c>
      <c r="AD26" t="s">
        <v>84</v>
      </c>
    </row>
    <row r="27" spans="1:44" x14ac:dyDescent="0.25">
      <c r="A27" t="s">
        <v>141</v>
      </c>
      <c r="B27" t="s">
        <v>142</v>
      </c>
      <c r="C27" s="25">
        <v>45322</v>
      </c>
      <c r="D27" s="15">
        <v>765000</v>
      </c>
      <c r="E27" t="s">
        <v>46</v>
      </c>
      <c r="F27" t="s">
        <v>47</v>
      </c>
      <c r="G27" s="15">
        <v>765000</v>
      </c>
      <c r="H27" s="15">
        <v>286100</v>
      </c>
      <c r="I27" s="20">
        <f>H27/G27*100</f>
        <v>37.398692810457518</v>
      </c>
      <c r="J27" s="15">
        <v>657325</v>
      </c>
      <c r="K27" s="15">
        <f>G27-561475</f>
        <v>203525</v>
      </c>
      <c r="L27" s="15">
        <v>95850</v>
      </c>
      <c r="M27" s="30">
        <v>180</v>
      </c>
      <c r="N27" s="34">
        <v>0</v>
      </c>
      <c r="O27" s="39">
        <v>1.016</v>
      </c>
      <c r="P27" s="39">
        <v>1.016</v>
      </c>
      <c r="Q27" s="15">
        <f>K27/M27</f>
        <v>1130.6944444444443</v>
      </c>
      <c r="R27" s="15">
        <f>K27/O27</f>
        <v>200319.88188976378</v>
      </c>
      <c r="S27" s="44">
        <f>K27/O27/43560</f>
        <v>4.5987117054583058</v>
      </c>
      <c r="T27" s="39">
        <v>180</v>
      </c>
      <c r="U27" s="5" t="s">
        <v>48</v>
      </c>
      <c r="V27" t="s">
        <v>143</v>
      </c>
      <c r="X27" t="s">
        <v>51</v>
      </c>
      <c r="Y27">
        <v>0</v>
      </c>
      <c r="Z27">
        <v>1</v>
      </c>
      <c r="AA27" s="6">
        <v>44939</v>
      </c>
      <c r="AB27" t="s">
        <v>52</v>
      </c>
      <c r="AC27" s="7" t="s">
        <v>53</v>
      </c>
      <c r="AD27" t="s">
        <v>84</v>
      </c>
      <c r="AE27" t="s">
        <v>59</v>
      </c>
    </row>
    <row r="28" spans="1:44" x14ac:dyDescent="0.25">
      <c r="A28" t="s">
        <v>144</v>
      </c>
      <c r="B28" t="s">
        <v>145</v>
      </c>
      <c r="C28" s="25">
        <v>45313</v>
      </c>
      <c r="D28" s="15">
        <v>380000</v>
      </c>
      <c r="E28" t="s">
        <v>46</v>
      </c>
      <c r="F28" t="s">
        <v>47</v>
      </c>
      <c r="G28" s="15">
        <v>380000</v>
      </c>
      <c r="H28" s="15">
        <v>234800</v>
      </c>
      <c r="I28" s="20">
        <f>H28/G28*100</f>
        <v>61.789473684210527</v>
      </c>
      <c r="J28" s="15">
        <v>380691</v>
      </c>
      <c r="K28" s="15">
        <f>G28-319131</f>
        <v>60869</v>
      </c>
      <c r="L28" s="15">
        <v>61560</v>
      </c>
      <c r="M28" s="30">
        <v>162</v>
      </c>
      <c r="N28" s="34">
        <v>0</v>
      </c>
      <c r="O28" s="39">
        <v>1.2989999999999999</v>
      </c>
      <c r="P28" s="39">
        <v>1.2989999999999999</v>
      </c>
      <c r="Q28" s="15">
        <f>K28/M28</f>
        <v>375.73456790123458</v>
      </c>
      <c r="R28" s="15">
        <f>K28/O28</f>
        <v>46858.352578906852</v>
      </c>
      <c r="S28" s="44">
        <f>K28/O28/43560</f>
        <v>1.0757197561732519</v>
      </c>
      <c r="T28" s="39">
        <v>162</v>
      </c>
      <c r="U28" s="5" t="s">
        <v>48</v>
      </c>
      <c r="V28" t="s">
        <v>146</v>
      </c>
      <c r="X28" t="s">
        <v>51</v>
      </c>
      <c r="Y28">
        <v>0</v>
      </c>
      <c r="Z28">
        <v>1</v>
      </c>
      <c r="AA28" s="6">
        <v>45489</v>
      </c>
      <c r="AB28" t="s">
        <v>52</v>
      </c>
      <c r="AC28" s="7" t="s">
        <v>53</v>
      </c>
      <c r="AD28" t="s">
        <v>147</v>
      </c>
    </row>
    <row r="29" spans="1:44" x14ac:dyDescent="0.25">
      <c r="A29" t="s">
        <v>148</v>
      </c>
      <c r="B29" t="s">
        <v>149</v>
      </c>
      <c r="C29" s="25">
        <v>44823</v>
      </c>
      <c r="D29" s="15">
        <v>380000</v>
      </c>
      <c r="E29" t="s">
        <v>46</v>
      </c>
      <c r="F29" t="s">
        <v>47</v>
      </c>
      <c r="G29" s="15">
        <v>380000</v>
      </c>
      <c r="H29" s="15">
        <v>207300</v>
      </c>
      <c r="I29" s="20">
        <f>H29/G29*100</f>
        <v>54.552631578947363</v>
      </c>
      <c r="J29" s="15">
        <v>454656</v>
      </c>
      <c r="K29" s="15">
        <f>G29-397656</f>
        <v>-17656</v>
      </c>
      <c r="L29" s="15">
        <v>57000</v>
      </c>
      <c r="M29" s="30">
        <v>150</v>
      </c>
      <c r="N29" s="34">
        <v>0</v>
      </c>
      <c r="O29" s="39">
        <v>0.59</v>
      </c>
      <c r="P29" s="39">
        <v>0.59</v>
      </c>
      <c r="Q29" s="15">
        <f>K29/M29</f>
        <v>-117.70666666666666</v>
      </c>
      <c r="R29" s="15">
        <f>K29/O29</f>
        <v>-29925.423728813559</v>
      </c>
      <c r="S29" s="44">
        <f>K29/O29/43560</f>
        <v>-0.68699319854943897</v>
      </c>
      <c r="T29" s="39">
        <v>150</v>
      </c>
      <c r="U29" s="5" t="s">
        <v>48</v>
      </c>
      <c r="V29" t="s">
        <v>150</v>
      </c>
      <c r="X29" t="s">
        <v>51</v>
      </c>
      <c r="Y29">
        <v>0</v>
      </c>
      <c r="Z29">
        <v>1</v>
      </c>
      <c r="AA29" s="6">
        <v>45488</v>
      </c>
      <c r="AB29" t="s">
        <v>52</v>
      </c>
      <c r="AC29" s="7" t="s">
        <v>53</v>
      </c>
      <c r="AD29" t="s">
        <v>147</v>
      </c>
    </row>
    <row r="30" spans="1:44" x14ac:dyDescent="0.25">
      <c r="A30" t="s">
        <v>151</v>
      </c>
      <c r="B30" t="s">
        <v>152</v>
      </c>
      <c r="C30" s="25">
        <v>44958</v>
      </c>
      <c r="D30" s="15">
        <v>1410000</v>
      </c>
      <c r="E30" t="s">
        <v>46</v>
      </c>
      <c r="F30" t="s">
        <v>47</v>
      </c>
      <c r="G30" s="15">
        <v>1410000</v>
      </c>
      <c r="H30" s="15">
        <v>329600</v>
      </c>
      <c r="I30" s="20">
        <f>H30/G30*100</f>
        <v>23.375886524822693</v>
      </c>
      <c r="J30" s="15">
        <v>1051339</v>
      </c>
      <c r="K30" s="15">
        <f>G30-977714</f>
        <v>432286</v>
      </c>
      <c r="L30" s="15">
        <v>73625</v>
      </c>
      <c r="M30" s="30">
        <v>155</v>
      </c>
      <c r="N30" s="34">
        <v>0</v>
      </c>
      <c r="O30" s="39">
        <v>0.34399999999999997</v>
      </c>
      <c r="P30" s="39">
        <v>0.34399999999999997</v>
      </c>
      <c r="Q30" s="15">
        <f>K30/M30</f>
        <v>2788.941935483871</v>
      </c>
      <c r="R30" s="15">
        <f>K30/O30</f>
        <v>1256645.3488372094</v>
      </c>
      <c r="S30" s="44">
        <f>K30/O30/43560</f>
        <v>28.84860764089094</v>
      </c>
      <c r="T30" s="39">
        <v>155</v>
      </c>
      <c r="U30" s="5" t="s">
        <v>48</v>
      </c>
      <c r="V30" t="s">
        <v>153</v>
      </c>
      <c r="X30" t="s">
        <v>51</v>
      </c>
      <c r="Y30">
        <v>0</v>
      </c>
      <c r="Z30">
        <v>0</v>
      </c>
      <c r="AA30" t="s">
        <v>73</v>
      </c>
      <c r="AB30" t="s">
        <v>52</v>
      </c>
      <c r="AC30" s="7" t="s">
        <v>53</v>
      </c>
      <c r="AD30" t="s">
        <v>59</v>
      </c>
    </row>
    <row r="31" spans="1:44" ht="15.75" thickBot="1" x14ac:dyDescent="0.3">
      <c r="A31" t="s">
        <v>154</v>
      </c>
      <c r="B31" t="s">
        <v>155</v>
      </c>
      <c r="C31" s="25">
        <v>44985</v>
      </c>
      <c r="D31" s="15">
        <v>899000</v>
      </c>
      <c r="E31" t="s">
        <v>46</v>
      </c>
      <c r="F31" t="s">
        <v>47</v>
      </c>
      <c r="G31" s="15">
        <v>899000</v>
      </c>
      <c r="H31" s="15">
        <v>295200</v>
      </c>
      <c r="I31" s="20">
        <f>H31/G31*100</f>
        <v>32.836484983314797</v>
      </c>
      <c r="J31" s="15">
        <v>919174</v>
      </c>
      <c r="K31" s="15">
        <f>G31-845549</f>
        <v>53451</v>
      </c>
      <c r="L31" s="15">
        <v>73625</v>
      </c>
      <c r="M31" s="30">
        <v>155</v>
      </c>
      <c r="N31" s="34">
        <v>0</v>
      </c>
      <c r="O31" s="39">
        <v>0.34399999999999997</v>
      </c>
      <c r="P31" s="39">
        <v>0.34399999999999997</v>
      </c>
      <c r="Q31" s="15">
        <f>K31/M31</f>
        <v>344.84516129032261</v>
      </c>
      <c r="R31" s="15">
        <f>K31/O31</f>
        <v>155380.8139534884</v>
      </c>
      <c r="S31" s="44">
        <f>K31/O31/43560</f>
        <v>3.5670526619258127</v>
      </c>
      <c r="T31" s="39">
        <v>155</v>
      </c>
      <c r="U31" s="5" t="s">
        <v>48</v>
      </c>
      <c r="V31" t="s">
        <v>156</v>
      </c>
      <c r="X31" t="s">
        <v>51</v>
      </c>
      <c r="Y31">
        <v>0</v>
      </c>
      <c r="Z31">
        <v>0</v>
      </c>
      <c r="AA31" t="s">
        <v>73</v>
      </c>
      <c r="AB31" t="s">
        <v>52</v>
      </c>
      <c r="AC31" s="7" t="s">
        <v>53</v>
      </c>
      <c r="AD31" t="s">
        <v>59</v>
      </c>
    </row>
    <row r="32" spans="1:44" ht="15.75" thickTop="1" x14ac:dyDescent="0.25">
      <c r="A32" s="8"/>
      <c r="B32" s="8"/>
      <c r="C32" s="26" t="s">
        <v>157</v>
      </c>
      <c r="D32" s="16">
        <f>+SUM(D2:D31)</f>
        <v>20020500</v>
      </c>
      <c r="E32" s="8"/>
      <c r="F32" s="8"/>
      <c r="G32" s="16">
        <f>+SUM(G2:G31)</f>
        <v>20020500</v>
      </c>
      <c r="H32" s="16">
        <f>+SUM(H2:H31)</f>
        <v>7001119</v>
      </c>
      <c r="I32" s="21"/>
      <c r="J32" s="16">
        <f>+SUM(J2:J31)</f>
        <v>18634445</v>
      </c>
      <c r="K32" s="16">
        <f>+SUM(K2:K31)</f>
        <v>6973292</v>
      </c>
      <c r="L32" s="16">
        <f>+SUM(L2:L31)</f>
        <v>5549797</v>
      </c>
      <c r="M32" s="31">
        <f>+SUM(M2:M31)</f>
        <v>6861.13</v>
      </c>
      <c r="N32" s="35"/>
      <c r="O32" s="40">
        <f>+SUM(O2:O31)</f>
        <v>72.966000000000008</v>
      </c>
      <c r="P32" s="40">
        <f>+SUM(P2:P31)</f>
        <v>75.65000000000002</v>
      </c>
      <c r="Q32" s="16"/>
      <c r="R32" s="16"/>
      <c r="S32" s="45"/>
      <c r="T32" s="40"/>
      <c r="U32" s="9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8"/>
      <c r="AR32" s="8"/>
    </row>
    <row r="33" spans="1:44" x14ac:dyDescent="0.25">
      <c r="A33" s="10"/>
      <c r="B33" s="10"/>
      <c r="C33" s="27"/>
      <c r="D33" s="17"/>
      <c r="E33" s="10"/>
      <c r="F33" s="10"/>
      <c r="G33" s="17"/>
      <c r="H33" s="17" t="s">
        <v>158</v>
      </c>
      <c r="I33" s="22">
        <f>H32/G32*100</f>
        <v>34.969751005219649</v>
      </c>
      <c r="J33" s="17"/>
      <c r="K33" s="17"/>
      <c r="L33" s="17" t="s">
        <v>159</v>
      </c>
      <c r="M33" s="32"/>
      <c r="N33" s="36"/>
      <c r="O33" s="41" t="s">
        <v>159</v>
      </c>
      <c r="P33" s="41"/>
      <c r="Q33" s="17"/>
      <c r="R33" s="17" t="s">
        <v>159</v>
      </c>
      <c r="S33" s="46"/>
      <c r="T33" s="41"/>
      <c r="U33" s="11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</row>
    <row r="34" spans="1:44" x14ac:dyDescent="0.25">
      <c r="A34" s="12"/>
      <c r="B34" s="12"/>
      <c r="C34" s="28"/>
      <c r="D34" s="18"/>
      <c r="E34" s="12"/>
      <c r="F34" s="12"/>
      <c r="G34" s="18"/>
      <c r="H34" s="18" t="s">
        <v>160</v>
      </c>
      <c r="I34" s="23">
        <f>STDEV(I2:I31)</f>
        <v>16.069952568340579</v>
      </c>
      <c r="J34" s="18"/>
      <c r="K34" s="18"/>
      <c r="L34" s="18" t="s">
        <v>161</v>
      </c>
      <c r="M34" s="48">
        <f>K32/M32</f>
        <v>1016.3474529705747</v>
      </c>
      <c r="N34" s="37"/>
      <c r="O34" s="42" t="s">
        <v>162</v>
      </c>
      <c r="P34" s="42">
        <f>K32/O32</f>
        <v>95569.059561987771</v>
      </c>
      <c r="Q34" s="18"/>
      <c r="R34" s="18" t="s">
        <v>163</v>
      </c>
      <c r="S34" s="47">
        <f>K32/O32/43560</f>
        <v>2.193963718135624</v>
      </c>
      <c r="T34" s="42"/>
      <c r="U34" s="13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</row>
  </sheetData>
  <conditionalFormatting sqref="A2:AR31">
    <cfRule type="expression" dxfId="3" priority="1" stopIfTrue="1">
      <formula>MOD(ROW(),4)&gt;1</formula>
    </cfRule>
    <cfRule type="expression" dxfId="2" priority="2" stopIfTrue="1">
      <formula>MOD(ROW(),4)&lt;2</formula>
    </cfRule>
  </conditionalFormatting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EXCELLENT FF</vt:lpstr>
      <vt:lpstr>GOOD FF</vt:lpstr>
      <vt:lpstr>AVG FF</vt:lpstr>
      <vt:lpstr>FAIR FF</vt:lpstr>
      <vt:lpstr>POORER FF</vt:lpstr>
      <vt:lpstr>GOOD VIEW FF</vt:lpstr>
      <vt:lpstr>AVG VIEW FF</vt:lpstr>
      <vt:lpstr>GOOD BACKLOT</vt:lpstr>
      <vt:lpstr>AVG BACKLOT</vt:lpstr>
      <vt:lpstr>POORER BACKLOT</vt:lpstr>
      <vt:lpstr>Land Analysis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 Jellison</dc:creator>
  <cp:lastModifiedBy>Kelly Jellison</cp:lastModifiedBy>
  <dcterms:created xsi:type="dcterms:W3CDTF">2024-12-21T14:43:07Z</dcterms:created>
  <dcterms:modified xsi:type="dcterms:W3CDTF">2024-12-21T18:57:27Z</dcterms:modified>
</cp:coreProperties>
</file>