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ing Department\2023-2024\Land Tables\"/>
    </mc:Choice>
  </mc:AlternateContent>
  <xr:revisionPtr revIDLastSave="0" documentId="8_{26EC9CED-24E7-447E-8A1F-9AC522F7FCD9}" xr6:coauthVersionLast="47" xr6:coauthVersionMax="47" xr10:uidLastSave="{00000000-0000-0000-0000-000000000000}"/>
  <bookViews>
    <workbookView xWindow="28680" yWindow="-120" windowWidth="29040" windowHeight="15720" xr2:uid="{F9A312EC-B34D-46D8-97FB-F3C30B2CC80B}"/>
  </bookViews>
  <sheets>
    <sheet name="Excellent FF" sheetId="9" r:id="rId1"/>
    <sheet name="Good FF" sheetId="10" r:id="rId2"/>
    <sheet name="Avg FF" sheetId="11" r:id="rId3"/>
    <sheet name="Fair FF" sheetId="12" r:id="rId4"/>
    <sheet name="Below Avg FF" sheetId="13" r:id="rId5"/>
    <sheet name="Cul-De-Sac FF" sheetId="14" r:id="rId6"/>
    <sheet name="City Excellent FF" sheetId="15" r:id="rId7"/>
    <sheet name="City Good FF" sheetId="16" r:id="rId8"/>
    <sheet name="City Above Good FF" sheetId="17" r:id="rId9"/>
    <sheet name="110-Clearbrook" sheetId="3" r:id="rId10"/>
    <sheet name="391-Singapore Trail" sheetId="4" r:id="rId11"/>
    <sheet name="255-Maple Green Condo" sheetId="5" r:id="rId12"/>
    <sheet name="165-Gas Light Estates" sheetId="6" r:id="rId13"/>
    <sheet name="344-Sanctuary" sheetId="7" r:id="rId14"/>
    <sheet name="265 Meadowargus" sheetId="8" r:id="rId1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7" l="1"/>
  <c r="K15" i="17"/>
  <c r="Q15" i="17"/>
  <c r="R15" i="17"/>
  <c r="S15" i="17"/>
  <c r="I13" i="17"/>
  <c r="K13" i="17"/>
  <c r="R13" i="17" s="1"/>
  <c r="I4" i="17"/>
  <c r="K4" i="17"/>
  <c r="Q4" i="17" s="1"/>
  <c r="I14" i="17"/>
  <c r="K14" i="17"/>
  <c r="Q14" i="17" s="1"/>
  <c r="I11" i="17"/>
  <c r="K11" i="17"/>
  <c r="Q11" i="17" s="1"/>
  <c r="K2" i="14"/>
  <c r="P16" i="9"/>
  <c r="O16" i="9"/>
  <c r="M16" i="9"/>
  <c r="L16" i="9"/>
  <c r="J16" i="9"/>
  <c r="H16" i="9"/>
  <c r="G16" i="9"/>
  <c r="D16" i="9"/>
  <c r="K15" i="9"/>
  <c r="Q15" i="9" s="1"/>
  <c r="I15" i="9"/>
  <c r="K14" i="9"/>
  <c r="S14" i="9" s="1"/>
  <c r="I14" i="9"/>
  <c r="K13" i="9"/>
  <c r="R13" i="9" s="1"/>
  <c r="I13" i="9"/>
  <c r="K12" i="9"/>
  <c r="Q12" i="9" s="1"/>
  <c r="I12" i="9"/>
  <c r="K11" i="9"/>
  <c r="S11" i="9" s="1"/>
  <c r="I11" i="9"/>
  <c r="K10" i="9"/>
  <c r="Q10" i="9" s="1"/>
  <c r="I10" i="9"/>
  <c r="K9" i="9"/>
  <c r="S9" i="9" s="1"/>
  <c r="I9" i="9"/>
  <c r="K8" i="9"/>
  <c r="Q8" i="9" s="1"/>
  <c r="I8" i="9"/>
  <c r="K7" i="9"/>
  <c r="Q7" i="9" s="1"/>
  <c r="I7" i="9"/>
  <c r="K6" i="9"/>
  <c r="R6" i="9" s="1"/>
  <c r="I6" i="9"/>
  <c r="K5" i="9"/>
  <c r="S5" i="9" s="1"/>
  <c r="I5" i="9"/>
  <c r="K4" i="9"/>
  <c r="S4" i="9" s="1"/>
  <c r="I4" i="9"/>
  <c r="K3" i="9"/>
  <c r="Q3" i="9" s="1"/>
  <c r="I3" i="9"/>
  <c r="K2" i="9"/>
  <c r="S2" i="9" s="1"/>
  <c r="I2" i="9"/>
  <c r="P6" i="10"/>
  <c r="O6" i="10"/>
  <c r="M6" i="10"/>
  <c r="L6" i="10"/>
  <c r="J6" i="10"/>
  <c r="H6" i="10"/>
  <c r="G6" i="10"/>
  <c r="D6" i="10"/>
  <c r="K5" i="10"/>
  <c r="Q5" i="10" s="1"/>
  <c r="I5" i="10"/>
  <c r="K4" i="10"/>
  <c r="S4" i="10" s="1"/>
  <c r="I4" i="10"/>
  <c r="K3" i="10"/>
  <c r="S3" i="10" s="1"/>
  <c r="I3" i="10"/>
  <c r="K2" i="10"/>
  <c r="R2" i="10" s="1"/>
  <c r="I2" i="10"/>
  <c r="P4" i="11"/>
  <c r="O4" i="11"/>
  <c r="M4" i="11"/>
  <c r="L4" i="11"/>
  <c r="J4" i="11"/>
  <c r="H4" i="11"/>
  <c r="G4" i="11"/>
  <c r="D4" i="11"/>
  <c r="K3" i="11"/>
  <c r="S3" i="11" s="1"/>
  <c r="I3" i="11"/>
  <c r="K2" i="11"/>
  <c r="R2" i="11" s="1"/>
  <c r="I2" i="11"/>
  <c r="P5" i="12"/>
  <c r="O5" i="12"/>
  <c r="M5" i="12"/>
  <c r="L5" i="12"/>
  <c r="J5" i="12"/>
  <c r="H5" i="12"/>
  <c r="G5" i="12"/>
  <c r="D5" i="12"/>
  <c r="K3" i="12"/>
  <c r="S3" i="12" s="1"/>
  <c r="I3" i="12"/>
  <c r="K2" i="12"/>
  <c r="S2" i="12" s="1"/>
  <c r="I2" i="12"/>
  <c r="K4" i="12"/>
  <c r="S4" i="12" s="1"/>
  <c r="I4" i="12"/>
  <c r="P10" i="13"/>
  <c r="O10" i="13"/>
  <c r="M10" i="13"/>
  <c r="L10" i="13"/>
  <c r="J10" i="13"/>
  <c r="H10" i="13"/>
  <c r="G10" i="13"/>
  <c r="I11" i="13" s="1"/>
  <c r="D10" i="13"/>
  <c r="K4" i="13"/>
  <c r="R4" i="13" s="1"/>
  <c r="I4" i="13"/>
  <c r="K9" i="13"/>
  <c r="S9" i="13" s="1"/>
  <c r="I9" i="13"/>
  <c r="K7" i="13"/>
  <c r="R7" i="13" s="1"/>
  <c r="I7" i="13"/>
  <c r="K3" i="13"/>
  <c r="R3" i="13" s="1"/>
  <c r="I3" i="13"/>
  <c r="R2" i="13"/>
  <c r="K2" i="13"/>
  <c r="S2" i="13" s="1"/>
  <c r="I2" i="13"/>
  <c r="K6" i="13"/>
  <c r="R6" i="13" s="1"/>
  <c r="I6" i="13"/>
  <c r="K8" i="13"/>
  <c r="R8" i="13" s="1"/>
  <c r="I8" i="13"/>
  <c r="K5" i="13"/>
  <c r="S5" i="13" s="1"/>
  <c r="I5" i="13"/>
  <c r="P5" i="14"/>
  <c r="O5" i="14"/>
  <c r="M5" i="14"/>
  <c r="L5" i="14"/>
  <c r="J5" i="14"/>
  <c r="H5" i="14"/>
  <c r="G5" i="14"/>
  <c r="D5" i="14"/>
  <c r="K4" i="14"/>
  <c r="S4" i="14" s="1"/>
  <c r="I4" i="14"/>
  <c r="K3" i="14"/>
  <c r="S3" i="14" s="1"/>
  <c r="I3" i="14"/>
  <c r="S2" i="14"/>
  <c r="I2" i="14"/>
  <c r="P9" i="15"/>
  <c r="O9" i="15"/>
  <c r="M9" i="15"/>
  <c r="L9" i="15"/>
  <c r="J9" i="15"/>
  <c r="H9" i="15"/>
  <c r="G9" i="15"/>
  <c r="D9" i="15"/>
  <c r="K7" i="15"/>
  <c r="S7" i="15" s="1"/>
  <c r="I7" i="15"/>
  <c r="K3" i="15"/>
  <c r="Q3" i="15" s="1"/>
  <c r="I3" i="15"/>
  <c r="K2" i="15"/>
  <c r="Q2" i="15" s="1"/>
  <c r="I2" i="15"/>
  <c r="K5" i="15"/>
  <c r="R5" i="15" s="1"/>
  <c r="I5" i="15"/>
  <c r="K6" i="15"/>
  <c r="S6" i="15" s="1"/>
  <c r="I6" i="15"/>
  <c r="K4" i="15"/>
  <c r="S4" i="15" s="1"/>
  <c r="I4" i="15"/>
  <c r="K8" i="15"/>
  <c r="S8" i="15" s="1"/>
  <c r="I8" i="15"/>
  <c r="P8" i="16"/>
  <c r="O8" i="16"/>
  <c r="M8" i="16"/>
  <c r="L8" i="16"/>
  <c r="J8" i="16"/>
  <c r="H8" i="16"/>
  <c r="G8" i="16"/>
  <c r="D8" i="16"/>
  <c r="K7" i="16"/>
  <c r="Q7" i="16" s="1"/>
  <c r="I7" i="16"/>
  <c r="K6" i="16"/>
  <c r="Q6" i="16" s="1"/>
  <c r="I6" i="16"/>
  <c r="K5" i="16"/>
  <c r="Q5" i="16" s="1"/>
  <c r="I5" i="16"/>
  <c r="K4" i="16"/>
  <c r="Q4" i="16" s="1"/>
  <c r="I4" i="16"/>
  <c r="K3" i="16"/>
  <c r="S3" i="16" s="1"/>
  <c r="I3" i="16"/>
  <c r="K2" i="16"/>
  <c r="Q2" i="16" s="1"/>
  <c r="I2" i="16"/>
  <c r="K6" i="17"/>
  <c r="S6" i="17" s="1"/>
  <c r="P16" i="17"/>
  <c r="O16" i="17"/>
  <c r="M16" i="17"/>
  <c r="L16" i="17"/>
  <c r="J16" i="17"/>
  <c r="H16" i="17"/>
  <c r="G16" i="17"/>
  <c r="D16" i="17"/>
  <c r="K5" i="17"/>
  <c r="S5" i="17" s="1"/>
  <c r="I5" i="17"/>
  <c r="K7" i="17"/>
  <c r="S7" i="17" s="1"/>
  <c r="I7" i="17"/>
  <c r="K10" i="17"/>
  <c r="S10" i="17" s="1"/>
  <c r="I10" i="17"/>
  <c r="K12" i="17"/>
  <c r="Q12" i="17" s="1"/>
  <c r="I12" i="17"/>
  <c r="K3" i="17"/>
  <c r="S3" i="17" s="1"/>
  <c r="I3" i="17"/>
  <c r="I6" i="17"/>
  <c r="K9" i="17"/>
  <c r="S9" i="17" s="1"/>
  <c r="I9" i="17"/>
  <c r="K2" i="17"/>
  <c r="Q2" i="17" s="1"/>
  <c r="I2" i="17"/>
  <c r="K8" i="17"/>
  <c r="S8" i="17" s="1"/>
  <c r="I8" i="17"/>
  <c r="K5" i="3"/>
  <c r="R5" i="3" s="1"/>
  <c r="I5" i="3"/>
  <c r="K4" i="3"/>
  <c r="R4" i="3" s="1"/>
  <c r="I4" i="3"/>
  <c r="K8" i="6"/>
  <c r="R5" i="7"/>
  <c r="Q5" i="7"/>
  <c r="O5" i="7"/>
  <c r="N5" i="7"/>
  <c r="J5" i="7"/>
  <c r="H5" i="7"/>
  <c r="G5" i="7"/>
  <c r="I6" i="7" s="1"/>
  <c r="D5" i="7"/>
  <c r="K4" i="7"/>
  <c r="U4" i="7" s="1"/>
  <c r="I4" i="7"/>
  <c r="K3" i="7"/>
  <c r="M3" i="7" s="1"/>
  <c r="I3" i="7"/>
  <c r="K2" i="7"/>
  <c r="U2" i="7" s="1"/>
  <c r="I2" i="7"/>
  <c r="I7" i="7" s="1"/>
  <c r="K3" i="8"/>
  <c r="U3" i="8" s="1"/>
  <c r="R5" i="8"/>
  <c r="Q5" i="8"/>
  <c r="O5" i="8"/>
  <c r="N5" i="8"/>
  <c r="J5" i="8"/>
  <c r="H5" i="8"/>
  <c r="G5" i="8"/>
  <c r="D5" i="8"/>
  <c r="K4" i="8"/>
  <c r="S4" i="8" s="1"/>
  <c r="I4" i="8"/>
  <c r="I3" i="8"/>
  <c r="K2" i="8"/>
  <c r="T2" i="8" s="1"/>
  <c r="I2" i="8"/>
  <c r="P4" i="6"/>
  <c r="O4" i="6"/>
  <c r="M4" i="6"/>
  <c r="L4" i="6"/>
  <c r="J4" i="6"/>
  <c r="H4" i="6"/>
  <c r="G4" i="6"/>
  <c r="D4" i="6"/>
  <c r="Q3" i="6"/>
  <c r="K3" i="6"/>
  <c r="S3" i="6" s="1"/>
  <c r="I3" i="6"/>
  <c r="K2" i="6"/>
  <c r="Q2" i="6" s="1"/>
  <c r="I2" i="6"/>
  <c r="I6" i="6" s="1"/>
  <c r="P4" i="5"/>
  <c r="O4" i="5"/>
  <c r="M4" i="5"/>
  <c r="L4" i="5"/>
  <c r="J4" i="5"/>
  <c r="H4" i="5"/>
  <c r="G4" i="5"/>
  <c r="D4" i="5"/>
  <c r="K3" i="5"/>
  <c r="R3" i="5" s="1"/>
  <c r="I3" i="5"/>
  <c r="K2" i="5"/>
  <c r="S2" i="5" s="1"/>
  <c r="I2" i="5"/>
  <c r="I5" i="4"/>
  <c r="P4" i="4"/>
  <c r="O4" i="4"/>
  <c r="M4" i="4"/>
  <c r="L4" i="4"/>
  <c r="J4" i="4"/>
  <c r="H4" i="4"/>
  <c r="G4" i="4"/>
  <c r="D4" i="4"/>
  <c r="K3" i="4"/>
  <c r="R3" i="4" s="1"/>
  <c r="I3" i="4"/>
  <c r="K2" i="4"/>
  <c r="S2" i="4" s="1"/>
  <c r="I2" i="4"/>
  <c r="I6" i="4"/>
  <c r="P9" i="3"/>
  <c r="O9" i="3"/>
  <c r="M9" i="3"/>
  <c r="L9" i="3"/>
  <c r="J9" i="3"/>
  <c r="H9" i="3"/>
  <c r="G9" i="3"/>
  <c r="D9" i="3"/>
  <c r="K8" i="3"/>
  <c r="R8" i="3" s="1"/>
  <c r="I8" i="3"/>
  <c r="K7" i="3"/>
  <c r="S7" i="3" s="1"/>
  <c r="I7" i="3"/>
  <c r="K6" i="3"/>
  <c r="S6" i="3" s="1"/>
  <c r="I6" i="3"/>
  <c r="K3" i="3"/>
  <c r="R3" i="3" s="1"/>
  <c r="I3" i="3"/>
  <c r="K2" i="3"/>
  <c r="S2" i="3" s="1"/>
  <c r="I2" i="3"/>
  <c r="S4" i="17" l="1"/>
  <c r="R4" i="17"/>
  <c r="S14" i="17"/>
  <c r="R14" i="17"/>
  <c r="S11" i="17"/>
  <c r="R11" i="17"/>
  <c r="Q13" i="17"/>
  <c r="S13" i="17"/>
  <c r="S2" i="17"/>
  <c r="Q10" i="17"/>
  <c r="S2" i="16"/>
  <c r="R7" i="16"/>
  <c r="R2" i="16"/>
  <c r="Q3" i="16"/>
  <c r="R3" i="16"/>
  <c r="I10" i="16"/>
  <c r="S7" i="16"/>
  <c r="S5" i="16"/>
  <c r="I9" i="16"/>
  <c r="R5" i="16"/>
  <c r="R6" i="16"/>
  <c r="S6" i="16"/>
  <c r="I11" i="15"/>
  <c r="Q6" i="15"/>
  <c r="R2" i="15"/>
  <c r="S2" i="15"/>
  <c r="R3" i="15"/>
  <c r="S3" i="15"/>
  <c r="I10" i="15"/>
  <c r="R7" i="15"/>
  <c r="Q7" i="15"/>
  <c r="Q3" i="14"/>
  <c r="I7" i="14"/>
  <c r="R3" i="14"/>
  <c r="Q2" i="14"/>
  <c r="I6" i="14"/>
  <c r="R2" i="14"/>
  <c r="Q5" i="13"/>
  <c r="R5" i="13"/>
  <c r="S4" i="13"/>
  <c r="S3" i="13"/>
  <c r="I12" i="13"/>
  <c r="Q2" i="13"/>
  <c r="S8" i="13"/>
  <c r="Q9" i="13"/>
  <c r="R9" i="13"/>
  <c r="I6" i="12"/>
  <c r="I7" i="12"/>
  <c r="I5" i="11"/>
  <c r="Q3" i="11"/>
  <c r="R3" i="11"/>
  <c r="I6" i="11"/>
  <c r="S2" i="11"/>
  <c r="I7" i="10"/>
  <c r="I8" i="10"/>
  <c r="R5" i="10"/>
  <c r="S2" i="10"/>
  <c r="S5" i="10"/>
  <c r="R8" i="9"/>
  <c r="R15" i="9"/>
  <c r="S15" i="9"/>
  <c r="Q6" i="9"/>
  <c r="S6" i="9"/>
  <c r="I18" i="9"/>
  <c r="Q4" i="9"/>
  <c r="Q14" i="9"/>
  <c r="R14" i="9"/>
  <c r="Q11" i="9"/>
  <c r="R11" i="9"/>
  <c r="R12" i="9"/>
  <c r="I17" i="9"/>
  <c r="R4" i="9"/>
  <c r="S13" i="9"/>
  <c r="R3" i="9"/>
  <c r="Q5" i="9"/>
  <c r="R7" i="9"/>
  <c r="R10" i="9"/>
  <c r="Q2" i="9"/>
  <c r="S3" i="9"/>
  <c r="R5" i="9"/>
  <c r="S7" i="9"/>
  <c r="Q9" i="9"/>
  <c r="S10" i="9"/>
  <c r="K16" i="9"/>
  <c r="S8" i="9"/>
  <c r="S12" i="9"/>
  <c r="R2" i="9"/>
  <c r="R9" i="9"/>
  <c r="Q13" i="9"/>
  <c r="Q3" i="10"/>
  <c r="Q4" i="10"/>
  <c r="R3" i="10"/>
  <c r="R4" i="10"/>
  <c r="K6" i="10"/>
  <c r="Q2" i="10"/>
  <c r="K4" i="11"/>
  <c r="Q2" i="11"/>
  <c r="Q2" i="12"/>
  <c r="Q3" i="12"/>
  <c r="R2" i="12"/>
  <c r="R3" i="12"/>
  <c r="K5" i="12"/>
  <c r="Q4" i="12"/>
  <c r="R4" i="12"/>
  <c r="Q6" i="13"/>
  <c r="Q7" i="13"/>
  <c r="K10" i="13"/>
  <c r="S6" i="13"/>
  <c r="S7" i="13"/>
  <c r="Q4" i="13"/>
  <c r="Q8" i="13"/>
  <c r="Q3" i="13"/>
  <c r="K5" i="14"/>
  <c r="Q4" i="14"/>
  <c r="R4" i="14"/>
  <c r="R6" i="15"/>
  <c r="Q4" i="15"/>
  <c r="K9" i="15"/>
  <c r="R4" i="15"/>
  <c r="S5" i="15"/>
  <c r="Q8" i="15"/>
  <c r="R8" i="15"/>
  <c r="Q5" i="15"/>
  <c r="K8" i="16"/>
  <c r="R4" i="16"/>
  <c r="S4" i="16"/>
  <c r="R12" i="17"/>
  <c r="Q8" i="17"/>
  <c r="R9" i="17"/>
  <c r="Q5" i="17"/>
  <c r="R5" i="17"/>
  <c r="S12" i="17"/>
  <c r="R10" i="17"/>
  <c r="I17" i="17"/>
  <c r="R2" i="17"/>
  <c r="I18" i="17"/>
  <c r="R8" i="17"/>
  <c r="Q9" i="17"/>
  <c r="K16" i="17"/>
  <c r="R6" i="17"/>
  <c r="R3" i="17"/>
  <c r="Q6" i="17"/>
  <c r="Q3" i="17"/>
  <c r="Q7" i="17"/>
  <c r="R7" i="17"/>
  <c r="S4" i="3"/>
  <c r="Q5" i="3"/>
  <c r="S5" i="3"/>
  <c r="I11" i="3"/>
  <c r="S3" i="3"/>
  <c r="Q4" i="3"/>
  <c r="K13" i="3"/>
  <c r="M2" i="7"/>
  <c r="M6" i="7" s="1"/>
  <c r="S3" i="7"/>
  <c r="M4" i="7"/>
  <c r="T2" i="7"/>
  <c r="T3" i="7"/>
  <c r="K5" i="7"/>
  <c r="T4" i="7"/>
  <c r="U3" i="7"/>
  <c r="S2" i="7"/>
  <c r="S4" i="7"/>
  <c r="M3" i="8"/>
  <c r="M2" i="8"/>
  <c r="M4" i="8"/>
  <c r="I7" i="8"/>
  <c r="I6" i="8"/>
  <c r="T4" i="8"/>
  <c r="S3" i="8"/>
  <c r="T3" i="8"/>
  <c r="U4" i="8"/>
  <c r="U2" i="8"/>
  <c r="K5" i="8"/>
  <c r="S2" i="8"/>
  <c r="I5" i="5"/>
  <c r="I6" i="5"/>
  <c r="Q2" i="5"/>
  <c r="R2" i="5"/>
  <c r="S3" i="5"/>
  <c r="I5" i="6"/>
  <c r="R3" i="6"/>
  <c r="K4" i="6"/>
  <c r="R2" i="6"/>
  <c r="S2" i="6"/>
  <c r="K4" i="5"/>
  <c r="Q3" i="5"/>
  <c r="S3" i="4"/>
  <c r="Q2" i="4"/>
  <c r="K4" i="4"/>
  <c r="R2" i="4"/>
  <c r="Q3" i="4"/>
  <c r="Q3" i="3"/>
  <c r="I10" i="3"/>
  <c r="R2" i="3"/>
  <c r="Q8" i="3"/>
  <c r="S8" i="3"/>
  <c r="R6" i="3"/>
  <c r="K9" i="3"/>
  <c r="Q6" i="3"/>
  <c r="Q2" i="3"/>
  <c r="Q7" i="3"/>
  <c r="R7" i="3"/>
  <c r="S18" i="9" l="1"/>
  <c r="P18" i="9"/>
  <c r="M18" i="9"/>
  <c r="S8" i="10"/>
  <c r="P8" i="10"/>
  <c r="M8" i="10"/>
  <c r="S6" i="11"/>
  <c r="P6" i="11"/>
  <c r="M6" i="11"/>
  <c r="S7" i="12"/>
  <c r="P7" i="12"/>
  <c r="M7" i="12"/>
  <c r="S12" i="13"/>
  <c r="P12" i="13"/>
  <c r="M12" i="13"/>
  <c r="S7" i="14"/>
  <c r="P7" i="14"/>
  <c r="M7" i="14"/>
  <c r="S11" i="15"/>
  <c r="P11" i="15"/>
  <c r="M11" i="15"/>
  <c r="S10" i="16"/>
  <c r="P10" i="16"/>
  <c r="M10" i="16"/>
  <c r="S18" i="17"/>
  <c r="P18" i="17"/>
  <c r="M18" i="17"/>
  <c r="U7" i="7"/>
  <c r="R7" i="7"/>
  <c r="O7" i="7"/>
  <c r="M6" i="8"/>
  <c r="U7" i="8"/>
  <c r="R7" i="8"/>
  <c r="O7" i="8"/>
  <c r="S6" i="6"/>
  <c r="P6" i="6"/>
  <c r="M6" i="6"/>
  <c r="S6" i="5"/>
  <c r="P6" i="5"/>
  <c r="M6" i="5"/>
  <c r="P6" i="4"/>
  <c r="M6" i="4"/>
  <c r="S6" i="4"/>
  <c r="S11" i="3"/>
  <c r="P11" i="3"/>
  <c r="M11" i="3"/>
</calcChain>
</file>

<file path=xl/sharedStrings.xml><?xml version="1.0" encoding="utf-8"?>
<sst xmlns="http://schemas.openxmlformats.org/spreadsheetml/2006/main" count="1512" uniqueCount="237">
  <si>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</si>
  <si>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</si>
  <si>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</si>
  <si>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</si>
  <si>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</si>
  <si>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</si>
  <si>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</si>
  <si>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</si>
  <si>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</si>
  <si>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</si>
  <si>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</si>
  <si>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</si>
  <si>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</si>
  <si>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</si>
  <si>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</si>
  <si>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</si>
  <si>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</si>
  <si>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</si>
  <si>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</si>
  <si>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</si>
  <si>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</si>
  <si>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</si>
  <si>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</si>
  <si>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</si>
  <si>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</si>
  <si>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</si>
  <si>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</si>
  <si>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</si>
  <si>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</si>
  <si>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</si>
  <si>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</si>
  <si>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</si>
  <si>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</si>
  <si>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</si>
  <si>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</si>
  <si>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</si>
  <si>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</si>
  <si>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</si>
  <si>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</si>
  <si>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</si>
  <si>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</si>
  <si>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</si>
  <si>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</si>
  <si>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</si>
  <si>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20-003-019-00</t>
  </si>
  <si>
    <t>3550 64TH ST</t>
  </si>
  <si>
    <t>WD</t>
  </si>
  <si>
    <t>19-MULTI PARCEL ARM'S LENGTH</t>
  </si>
  <si>
    <t>SBN</t>
  </si>
  <si>
    <t>4678-163</t>
  </si>
  <si>
    <t>20-003-012-00</t>
  </si>
  <si>
    <t>SBN - SUBURBAN NORTH</t>
  </si>
  <si>
    <t>RESIDENTIAL</t>
  </si>
  <si>
    <t>001</t>
  </si>
  <si>
    <t xml:space="preserve">EXCELLENT FF </t>
  </si>
  <si>
    <t>20-003-034-00</t>
  </si>
  <si>
    <t>3495 65TH ST</t>
  </si>
  <si>
    <t>03-ARM'S LENGTH</t>
  </si>
  <si>
    <t>4641-539</t>
  </si>
  <si>
    <t>RES 1 FAMILY</t>
  </si>
  <si>
    <t>401</t>
  </si>
  <si>
    <t>GOOD FF</t>
  </si>
  <si>
    <t>20-003-044-20</t>
  </si>
  <si>
    <t>3507 64TH ST</t>
  </si>
  <si>
    <t>4627-265</t>
  </si>
  <si>
    <t>20-003-044-40</t>
  </si>
  <si>
    <t>3501 64TH ST</t>
  </si>
  <si>
    <t>4808/847</t>
  </si>
  <si>
    <t>NOT INSPECTED</t>
  </si>
  <si>
    <t>402</t>
  </si>
  <si>
    <t>20-003-055-10</t>
  </si>
  <si>
    <t>3490 65TH ST</t>
  </si>
  <si>
    <t>4690-559</t>
  </si>
  <si>
    <t>20-003-063-17</t>
  </si>
  <si>
    <t>3487 66TH ST</t>
  </si>
  <si>
    <t>4784/626</t>
  </si>
  <si>
    <t>RES VAC</t>
  </si>
  <si>
    <t>CTY ABOVE GOOD</t>
  </si>
  <si>
    <t>20-003-065-04</t>
  </si>
  <si>
    <t>3515 66TH ST</t>
  </si>
  <si>
    <t>4692-396</t>
  </si>
  <si>
    <t>20-003-065-05</t>
  </si>
  <si>
    <t>66TH ST V/L</t>
  </si>
  <si>
    <t>4630-60</t>
  </si>
  <si>
    <t>20-003-083-00</t>
  </si>
  <si>
    <t>BLUE STAR HWY V/L</t>
  </si>
  <si>
    <t>4704-668</t>
  </si>
  <si>
    <t>BELOW AVERAGE</t>
  </si>
  <si>
    <t>20-003-085-30</t>
  </si>
  <si>
    <t>6405 DANIEL DRIVE</t>
  </si>
  <si>
    <t>4827/475</t>
  </si>
  <si>
    <t>20-003-093-02</t>
  </si>
  <si>
    <t>3437 64TH ST</t>
  </si>
  <si>
    <t>4840/879</t>
  </si>
  <si>
    <t>AVG FF</t>
  </si>
  <si>
    <t>20-003-095-50</t>
  </si>
  <si>
    <t>6421 134TH AVE</t>
  </si>
  <si>
    <t>4696-907</t>
  </si>
  <si>
    <t>20-003-095-60</t>
  </si>
  <si>
    <t>20-004-028-00</t>
  </si>
  <si>
    <t>212 NORTH ST</t>
  </si>
  <si>
    <t>PTA</t>
  </si>
  <si>
    <t>20-380-002-00, 20-380-003-00, 20-004-029-00</t>
  </si>
  <si>
    <t>WAREHOUSES</t>
  </si>
  <si>
    <t>CTY GOOD</t>
  </si>
  <si>
    <t>20-004-041-10</t>
  </si>
  <si>
    <t>3403 ELIZABETH</t>
  </si>
  <si>
    <t>4623-716</t>
  </si>
  <si>
    <t>20-010-048-00</t>
  </si>
  <si>
    <t>191 S MAPLE ST</t>
  </si>
  <si>
    <t>4827/418</t>
  </si>
  <si>
    <t>20-017-015-10</t>
  </si>
  <si>
    <t>6835 WILEY RD</t>
  </si>
  <si>
    <t>4690-556</t>
  </si>
  <si>
    <t>20-017-015-30</t>
  </si>
  <si>
    <t>6839 WILEY RD</t>
  </si>
  <si>
    <t>4694-939</t>
  </si>
  <si>
    <t>20-022-001-02</t>
  </si>
  <si>
    <t>2910 PEACH CK V/L</t>
  </si>
  <si>
    <t>4716-745</t>
  </si>
  <si>
    <t>20-023-013-40</t>
  </si>
  <si>
    <t>20-022-001-60</t>
  </si>
  <si>
    <t>2954 PEACH CREEK CT</t>
  </si>
  <si>
    <t>4715-243</t>
  </si>
  <si>
    <t>20-023-012-40</t>
  </si>
  <si>
    <t>20-022-001-70</t>
  </si>
  <si>
    <t>2932 PEACH CREEK CT</t>
  </si>
  <si>
    <t>4774/260</t>
  </si>
  <si>
    <t>20-023-013-90</t>
  </si>
  <si>
    <t>20-105-003-00</t>
  </si>
  <si>
    <t>3443 CLEARBROOK CT</t>
  </si>
  <si>
    <t xml:space="preserve">WD </t>
  </si>
  <si>
    <t>4776/744</t>
  </si>
  <si>
    <t>20-105-004-00</t>
  </si>
  <si>
    <t>3439 CLEARBROOK CT</t>
  </si>
  <si>
    <t>4705-933</t>
  </si>
  <si>
    <t>20-110-003-00</t>
  </si>
  <si>
    <t>3359 CLEARBROOK GREEN</t>
  </si>
  <si>
    <t>4685-673</t>
  </si>
  <si>
    <t>RES DUPLEX</t>
  </si>
  <si>
    <t>20-110-006-00</t>
  </si>
  <si>
    <t>3367 CLEARBROOK GREEN</t>
  </si>
  <si>
    <t>4807/370</t>
  </si>
  <si>
    <t>20-110-008-00</t>
  </si>
  <si>
    <t>3366 CLEARBROOK GREEN</t>
  </si>
  <si>
    <t>4819/751</t>
  </si>
  <si>
    <t>20-110-016-00</t>
  </si>
  <si>
    <t>3338 CLEARBROOK GREEN</t>
  </si>
  <si>
    <t>4688-829</t>
  </si>
  <si>
    <t>20-110-019-00</t>
  </si>
  <si>
    <t>3356 CLEARBROOK GREEN</t>
  </si>
  <si>
    <t>4635-542</t>
  </si>
  <si>
    <t>RES CONDO</t>
  </si>
  <si>
    <t>20-165-011-00</t>
  </si>
  <si>
    <t>3352 GASLIGHT LN</t>
  </si>
  <si>
    <t>4629-509</t>
  </si>
  <si>
    <t>4793/789</t>
  </si>
  <si>
    <t>20-165-015-00</t>
  </si>
  <si>
    <t>6426 GASLIGHT LN</t>
  </si>
  <si>
    <t>4654-796</t>
  </si>
  <si>
    <t>20-180-007-00</t>
  </si>
  <si>
    <t>3538 SHARON LN</t>
  </si>
  <si>
    <t>4624-266</t>
  </si>
  <si>
    <t>20-180-023-00</t>
  </si>
  <si>
    <t>3547 SANDRA LN</t>
  </si>
  <si>
    <t>4685-273</t>
  </si>
  <si>
    <t>20-003-043-30</t>
  </si>
  <si>
    <t>20-180-026-00</t>
  </si>
  <si>
    <t>3541 SANDRA LANE</t>
  </si>
  <si>
    <t>4685-371</t>
  </si>
  <si>
    <t>20-003-043-60</t>
  </si>
  <si>
    <t>20-250-008-00</t>
  </si>
  <si>
    <t>3440 MAPLE GATE DR</t>
  </si>
  <si>
    <t>4753/620</t>
  </si>
  <si>
    <t>CUL-DE-SAC</t>
  </si>
  <si>
    <t>20-250-024-00</t>
  </si>
  <si>
    <t>6427 PALMETTO CT</t>
  </si>
  <si>
    <t>4806/544</t>
  </si>
  <si>
    <t>20-265-016-00</t>
  </si>
  <si>
    <t>2967 COLFAX COURT</t>
  </si>
  <si>
    <t>4808/954</t>
  </si>
  <si>
    <t>20-265-020-00</t>
  </si>
  <si>
    <t>2958 COLFAX COURT</t>
  </si>
  <si>
    <t>4763/084</t>
  </si>
  <si>
    <t>4792/151</t>
  </si>
  <si>
    <t>20-265-021-00</t>
  </si>
  <si>
    <t>2962 COLFAX COURT</t>
  </si>
  <si>
    <t>4761/313</t>
  </si>
  <si>
    <t>20-265-030-00</t>
  </si>
  <si>
    <t>6696 YAMOTO WAY</t>
  </si>
  <si>
    <t>4788/383</t>
  </si>
  <si>
    <t>20-265-057-00</t>
  </si>
  <si>
    <t>6701 YAMOTO WAY</t>
  </si>
  <si>
    <t>4637-910</t>
  </si>
  <si>
    <t>20-265-058-00</t>
  </si>
  <si>
    <t>20-265-057-01</t>
  </si>
  <si>
    <t>6699 YAMOTO WAY</t>
  </si>
  <si>
    <t>20-265-060-00</t>
  </si>
  <si>
    <t>6691 YAMOTO WAY</t>
  </si>
  <si>
    <t>4770/118</t>
  </si>
  <si>
    <t>20-285-010-00</t>
  </si>
  <si>
    <t>6282 HAWTHORNE COURT</t>
  </si>
  <si>
    <t>4785/762</t>
  </si>
  <si>
    <t>20-290-007-00</t>
  </si>
  <si>
    <t>3486 WKAMA WAY</t>
  </si>
  <si>
    <t>4676-74</t>
  </si>
  <si>
    <t>4819/802</t>
  </si>
  <si>
    <t>20-290-014-00</t>
  </si>
  <si>
    <t>6432 OTOTEMAN TR</t>
  </si>
  <si>
    <t>4692-611</t>
  </si>
  <si>
    <t>20-290-017-00</t>
  </si>
  <si>
    <t>6444 OTOTEMAN TR</t>
  </si>
  <si>
    <t>4780 362</t>
  </si>
  <si>
    <t>20-343-015-00</t>
  </si>
  <si>
    <t>3524 KEPPEL LN</t>
  </si>
  <si>
    <t>4797/740</t>
  </si>
  <si>
    <t>20-391-004-00</t>
  </si>
  <si>
    <t>6568 OLD SINGAPORE TR</t>
  </si>
  <si>
    <t>4799/622</t>
  </si>
  <si>
    <t>20-391-022-00</t>
  </si>
  <si>
    <t>6509 OLD SINGAPORE TR</t>
  </si>
  <si>
    <t>4678-819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</si>
  <si>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</si>
  <si>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</si>
  <si>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</si>
  <si>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</si>
  <si>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</si>
  <si>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</si>
  <si>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</si>
  <si>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# of sites</t>
  </si>
  <si>
    <t>Site Value</t>
  </si>
  <si>
    <t>Average Site Value</t>
  </si>
  <si>
    <t>Concluded Site Value</t>
  </si>
  <si>
    <t>Calculated Site Rate</t>
  </si>
  <si>
    <t>Concluded Site Rate</t>
  </si>
  <si>
    <t>Calculate Site Rate</t>
  </si>
  <si>
    <t>Concluded FF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</si>
</sst>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  <numFmt numFmtId="170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right"/>
    </xf>
    <xf numFmtId="6" fontId="2" fillId="2" borderId="0" xfId="0" applyNumberFormat="1" applyFont="1" applyFill="1" applyAlignment="1">
      <alignment horizontal="center"/>
    </xf>
    <xf numFmtId="6" fontId="0" fillId="0" borderId="0" xfId="0" applyNumberFormat="1"/>
    <xf numFmtId="6" fontId="3" fillId="3" borderId="1" xfId="0" applyNumberFormat="1" applyFont="1" applyFill="1" applyBorder="1"/>
    <xf numFmtId="6" fontId="3" fillId="3" borderId="0" xfId="0" applyNumberFormat="1" applyFont="1" applyFill="1" applyBorder="1"/>
    <xf numFmtId="6" fontId="3" fillId="3" borderId="2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164" fontId="0" fillId="0" borderId="0" xfId="0" applyNumberFormat="1"/>
    <xf numFmtId="164" fontId="3" fillId="3" borderId="1" xfId="0" applyNumberFormat="1" applyFont="1" applyFill="1" applyBorder="1"/>
    <xf numFmtId="164" fontId="3" fillId="3" borderId="0" xfId="0" applyNumberFormat="1" applyFont="1" applyFill="1" applyBorder="1"/>
    <xf numFmtId="164" fontId="3" fillId="3" borderId="2" xfId="0" applyNumberFormat="1" applyFont="1" applyFill="1" applyBorder="1"/>
    <xf numFmtId="165" fontId="2" fillId="2" borderId="0" xfId="0" applyNumberFormat="1" applyFont="1" applyFill="1" applyAlignment="1">
      <alignment horizontal="center"/>
    </xf>
    <xf numFmtId="165" fontId="0" fillId="0" borderId="0" xfId="0" applyNumberFormat="1"/>
    <xf numFmtId="165" fontId="3" fillId="3" borderId="1" xfId="0" applyNumberFormat="1" applyFont="1" applyFill="1" applyBorder="1"/>
    <xf numFmtId="165" fontId="3" fillId="3" borderId="0" xfId="0" applyNumberFormat="1" applyFont="1" applyFill="1" applyBorder="1"/>
    <xf numFmtId="165" fontId="3" fillId="3" borderId="2" xfId="0" applyNumberFormat="1" applyFont="1" applyFill="1" applyBorder="1"/>
    <xf numFmtId="166" fontId="2" fillId="2" borderId="0" xfId="0" applyNumberFormat="1" applyFont="1" applyFill="1" applyAlignment="1">
      <alignment horizontal="center"/>
    </xf>
    <xf numFmtId="166" fontId="0" fillId="0" borderId="0" xfId="0" applyNumberFormat="1"/>
    <xf numFmtId="166" fontId="3" fillId="3" borderId="1" xfId="0" applyNumberFormat="1" applyFont="1" applyFill="1" applyBorder="1"/>
    <xf numFmtId="166" fontId="3" fillId="3" borderId="0" xfId="0" applyNumberFormat="1" applyFont="1" applyFill="1" applyBorder="1"/>
    <xf numFmtId="167" fontId="2" fillId="2" borderId="0" xfId="0" applyNumberFormat="1" applyFont="1" applyFill="1" applyAlignment="1">
      <alignment horizontal="center"/>
    </xf>
    <xf numFmtId="167" fontId="0" fillId="0" borderId="0" xfId="0" applyNumberFormat="1"/>
    <xf numFmtId="167" fontId="3" fillId="3" borderId="1" xfId="0" applyNumberFormat="1" applyFont="1" applyFill="1" applyBorder="1"/>
    <xf numFmtId="167" fontId="3" fillId="3" borderId="0" xfId="0" applyNumberFormat="1" applyFont="1" applyFill="1" applyBorder="1"/>
    <xf numFmtId="167" fontId="3" fillId="3" borderId="2" xfId="0" applyNumberFormat="1" applyFont="1" applyFill="1" applyBorder="1"/>
    <xf numFmtId="40" fontId="2" fillId="2" borderId="0" xfId="0" applyNumberFormat="1" applyFont="1" applyFill="1" applyAlignment="1">
      <alignment horizontal="center"/>
    </xf>
    <xf numFmtId="40" fontId="0" fillId="0" borderId="0" xfId="0" applyNumberFormat="1"/>
    <xf numFmtId="40" fontId="3" fillId="3" borderId="1" xfId="0" applyNumberFormat="1" applyFont="1" applyFill="1" applyBorder="1"/>
    <xf numFmtId="40" fontId="3" fillId="3" borderId="0" xfId="0" applyNumberFormat="1" applyFont="1" applyFill="1" applyBorder="1"/>
    <xf numFmtId="40" fontId="3" fillId="3" borderId="2" xfId="0" applyNumberFormat="1" applyFont="1" applyFill="1" applyBorder="1"/>
    <xf numFmtId="8" fontId="2" fillId="2" borderId="0" xfId="0" applyNumberFormat="1" applyFont="1" applyFill="1" applyAlignment="1">
      <alignment horizontal="center"/>
    </xf>
    <xf numFmtId="8" fontId="0" fillId="0" borderId="0" xfId="0" applyNumberFormat="1"/>
    <xf numFmtId="8" fontId="3" fillId="3" borderId="1" xfId="0" applyNumberFormat="1" applyFont="1" applyFill="1" applyBorder="1"/>
    <xf numFmtId="8" fontId="3" fillId="3" borderId="0" xfId="0" applyNumberFormat="1" applyFont="1" applyFill="1" applyBorder="1"/>
    <xf numFmtId="8" fontId="3" fillId="3" borderId="2" xfId="0" applyNumberFormat="1" applyFont="1" applyFill="1" applyBorder="1"/>
    <xf numFmtId="168" fontId="3" fillId="3" borderId="2" xfId="0" applyNumberFormat="1" applyFont="1" applyFill="1" applyBorder="1"/>
    <xf numFmtId="170" fontId="0" fillId="0" borderId="0" xfId="1" applyNumberFormat="1" applyFont="1"/>
    <xf numFmtId="6" fontId="3" fillId="3" borderId="0" xfId="0" applyNumberFormat="1" applyFont="1" applyFill="1" applyBorder="1" applyAlignment="1">
      <alignment horizontal="right"/>
    </xf>
    <xf numFmtId="170" fontId="3" fillId="3" borderId="0" xfId="0" applyNumberFormat="1" applyFont="1" applyFill="1" applyBorder="1"/>
    <xf numFmtId="6" fontId="0" fillId="0" borderId="0" xfId="0" applyNumberFormat="1" applyAlignment="1">
      <alignment horizontal="right"/>
    </xf>
    <xf numFmtId="6" fontId="0" fillId="4" borderId="0" xfId="0" applyNumberFormat="1" applyFill="1"/>
    <xf numFmtId="6" fontId="0" fillId="4" borderId="0" xfId="0" applyNumberFormat="1" applyFill="1" applyAlignment="1">
      <alignment horizontal="right"/>
    </xf>
    <xf numFmtId="164" fontId="0" fillId="4" borderId="0" xfId="0" applyNumberFormat="1" applyFill="1"/>
    <xf numFmtId="166" fontId="0" fillId="4" borderId="0" xfId="0" applyNumberFormat="1" applyFill="1"/>
    <xf numFmtId="38" fontId="0" fillId="4" borderId="0" xfId="0" applyNumberFormat="1" applyFill="1"/>
    <xf numFmtId="38" fontId="0" fillId="0" borderId="0" xfId="0" applyNumberFormat="1"/>
  </cellXfs>
  <cellStyles count="2">
    <cellStyle name="Comma" xfId="1" builtinId="3"/>
    <cellStyle name="Normal" xfId="0" builtinId="0"/>
  </cellStyles>
  <dxfs count="32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0BA04-45F6-44CE-9705-FBC764BC3841}">
  <dimension ref="A1:AX20"/>
  <sheetViews>
    <sheetView tabSelected="1" workbookViewId="0">
      <selection activeCell="G27" sqref="G27"/>
    </sheetView>
  </sheetViews>
  <sheetFormatPr defaultRowHeight="15" x14ac:dyDescent="0.25"/>
  <cols>
    <col min="1" max="1" width="14.28515625" bestFit="1" customWidth="1"/>
    <col min="2" max="2" width="27.425781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23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3.42578125" bestFit="1" customWidth="1"/>
    <col min="29" max="29" width="5.42578125" bestFit="1" customWidth="1"/>
    <col min="30" max="30" width="16.710937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44</v>
      </c>
      <c r="B2" t="s">
        <v>45</v>
      </c>
      <c r="C2" s="25">
        <v>44460</v>
      </c>
      <c r="D2" s="15">
        <v>885000</v>
      </c>
      <c r="E2" t="s">
        <v>46</v>
      </c>
      <c r="F2" t="s">
        <v>47</v>
      </c>
      <c r="G2" s="15">
        <v>885000</v>
      </c>
      <c r="H2" s="15">
        <v>354600</v>
      </c>
      <c r="I2" s="20">
        <f>H2/G2*100</f>
        <v>40.067796610169495</v>
      </c>
      <c r="J2" s="15">
        <v>660497</v>
      </c>
      <c r="K2" s="15">
        <f>G2-44072</f>
        <v>840928</v>
      </c>
      <c r="L2" s="15">
        <v>603452</v>
      </c>
      <c r="M2" s="30">
        <v>1200</v>
      </c>
      <c r="N2" s="34">
        <v>0</v>
      </c>
      <c r="O2" s="39">
        <v>21.94</v>
      </c>
      <c r="P2" s="39">
        <v>16.420000000000002</v>
      </c>
      <c r="Q2" s="15">
        <f>K2/M2</f>
        <v>700.77333333333331</v>
      </c>
      <c r="R2" s="15">
        <f>K2/O2</f>
        <v>38328.5323609845</v>
      </c>
      <c r="S2" s="44">
        <f>K2/O2/43560</f>
        <v>0.87990202848908405</v>
      </c>
      <c r="T2" s="39">
        <v>1200</v>
      </c>
      <c r="U2" s="5" t="s">
        <v>48</v>
      </c>
      <c r="V2" t="s">
        <v>49</v>
      </c>
      <c r="W2" t="s">
        <v>50</v>
      </c>
      <c r="X2" t="s">
        <v>51</v>
      </c>
      <c r="Y2">
        <v>0</v>
      </c>
      <c r="Z2">
        <v>1</v>
      </c>
      <c r="AA2" s="6">
        <v>39720</v>
      </c>
      <c r="AB2" t="s">
        <v>52</v>
      </c>
      <c r="AC2" s="7" t="s">
        <v>53</v>
      </c>
      <c r="AD2" t="s">
        <v>54</v>
      </c>
      <c r="AO2" s="2"/>
      <c r="AQ2" s="2"/>
    </row>
    <row r="3" spans="1:50" x14ac:dyDescent="0.25">
      <c r="A3" t="s">
        <v>62</v>
      </c>
      <c r="B3" t="s">
        <v>63</v>
      </c>
      <c r="C3" s="25">
        <v>44340</v>
      </c>
      <c r="D3" s="15">
        <v>373400</v>
      </c>
      <c r="E3" t="s">
        <v>46</v>
      </c>
      <c r="F3" t="s">
        <v>57</v>
      </c>
      <c r="G3" s="15">
        <v>373400</v>
      </c>
      <c r="H3" s="15">
        <v>141200</v>
      </c>
      <c r="I3" s="20">
        <f>H3/G3*100</f>
        <v>37.814675950723085</v>
      </c>
      <c r="J3" s="15">
        <v>346678</v>
      </c>
      <c r="K3" s="15">
        <f>G3-294678</f>
        <v>78722</v>
      </c>
      <c r="L3" s="15">
        <v>52000</v>
      </c>
      <c r="M3" s="30">
        <v>104</v>
      </c>
      <c r="N3" s="34">
        <v>250</v>
      </c>
      <c r="O3" s="39">
        <v>0.59699999999999998</v>
      </c>
      <c r="P3" s="39">
        <v>0.59699999999999998</v>
      </c>
      <c r="Q3" s="15">
        <f>K3/M3</f>
        <v>756.94230769230774</v>
      </c>
      <c r="R3" s="15">
        <f>K3/O3</f>
        <v>131862.64656616416</v>
      </c>
      <c r="S3" s="44">
        <f>K3/O3/43560</f>
        <v>3.0271498293426116</v>
      </c>
      <c r="T3" s="39">
        <v>104</v>
      </c>
      <c r="U3" s="5" t="s">
        <v>48</v>
      </c>
      <c r="V3" t="s">
        <v>64</v>
      </c>
      <c r="X3" t="s">
        <v>51</v>
      </c>
      <c r="Y3">
        <v>0</v>
      </c>
      <c r="Z3">
        <v>0</v>
      </c>
      <c r="AA3" s="6">
        <v>45087</v>
      </c>
      <c r="AB3" t="s">
        <v>59</v>
      </c>
      <c r="AC3" s="7" t="s">
        <v>60</v>
      </c>
      <c r="AD3" t="s">
        <v>54</v>
      </c>
    </row>
    <row r="4" spans="1:50" x14ac:dyDescent="0.25">
      <c r="A4" t="s">
        <v>117</v>
      </c>
      <c r="B4" t="s">
        <v>118</v>
      </c>
      <c r="C4" s="25">
        <v>44551</v>
      </c>
      <c r="D4" s="15">
        <v>103000</v>
      </c>
      <c r="E4" t="s">
        <v>46</v>
      </c>
      <c r="F4" t="s">
        <v>47</v>
      </c>
      <c r="G4" s="15">
        <v>103000</v>
      </c>
      <c r="H4" s="15">
        <v>37000</v>
      </c>
      <c r="I4" s="20">
        <f>H4/G4*100</f>
        <v>35.922330097087382</v>
      </c>
      <c r="J4" s="15">
        <v>430318</v>
      </c>
      <c r="K4" s="15">
        <f>G4-0</f>
        <v>103000</v>
      </c>
      <c r="L4" s="15">
        <v>100947</v>
      </c>
      <c r="M4" s="30">
        <v>180.85</v>
      </c>
      <c r="N4" s="34">
        <v>0</v>
      </c>
      <c r="O4" s="39">
        <v>3.73</v>
      </c>
      <c r="P4" s="39">
        <v>2.66</v>
      </c>
      <c r="Q4" s="15">
        <f>K4/M4</f>
        <v>569.5327619574233</v>
      </c>
      <c r="R4" s="15">
        <f>K4/O4</f>
        <v>27613.941018766756</v>
      </c>
      <c r="S4" s="44">
        <f>K4/O4/43560</f>
        <v>0.6339288571801367</v>
      </c>
      <c r="T4" s="39">
        <v>180.85</v>
      </c>
      <c r="U4" s="5" t="s">
        <v>48</v>
      </c>
      <c r="V4" t="s">
        <v>119</v>
      </c>
      <c r="W4" t="s">
        <v>120</v>
      </c>
      <c r="X4" t="s">
        <v>51</v>
      </c>
      <c r="Y4">
        <v>0</v>
      </c>
      <c r="Z4">
        <v>1</v>
      </c>
      <c r="AA4" s="6">
        <v>44938</v>
      </c>
      <c r="AB4" t="s">
        <v>76</v>
      </c>
      <c r="AC4" s="7" t="s">
        <v>60</v>
      </c>
      <c r="AD4" t="s">
        <v>54</v>
      </c>
    </row>
    <row r="5" spans="1:50" x14ac:dyDescent="0.25">
      <c r="A5" t="s">
        <v>121</v>
      </c>
      <c r="B5" t="s">
        <v>122</v>
      </c>
      <c r="C5" s="25">
        <v>44553</v>
      </c>
      <c r="D5" s="15">
        <v>90000</v>
      </c>
      <c r="E5" t="s">
        <v>46</v>
      </c>
      <c r="F5" t="s">
        <v>47</v>
      </c>
      <c r="G5" s="15">
        <v>90000</v>
      </c>
      <c r="H5" s="15">
        <v>52800</v>
      </c>
      <c r="I5" s="20">
        <f>H5/G5*100</f>
        <v>58.666666666666664</v>
      </c>
      <c r="J5" s="15">
        <v>162500</v>
      </c>
      <c r="K5" s="15">
        <f>G5-0</f>
        <v>90000</v>
      </c>
      <c r="L5" s="15">
        <v>135000</v>
      </c>
      <c r="M5" s="30">
        <v>435</v>
      </c>
      <c r="N5" s="34">
        <v>0</v>
      </c>
      <c r="O5" s="39">
        <v>3.82</v>
      </c>
      <c r="P5" s="39">
        <v>3.29</v>
      </c>
      <c r="Q5" s="15">
        <f>K5/M5</f>
        <v>206.89655172413794</v>
      </c>
      <c r="R5" s="15">
        <f>K5/O5</f>
        <v>23560.209424083772</v>
      </c>
      <c r="S5" s="44">
        <f>K5/O5/43560</f>
        <v>0.54086798494223531</v>
      </c>
      <c r="T5" s="39">
        <v>435</v>
      </c>
      <c r="U5" s="5" t="s">
        <v>48</v>
      </c>
      <c r="V5" t="s">
        <v>123</v>
      </c>
      <c r="W5" t="s">
        <v>124</v>
      </c>
      <c r="X5" t="s">
        <v>51</v>
      </c>
      <c r="Y5">
        <v>0</v>
      </c>
      <c r="Z5">
        <v>0</v>
      </c>
      <c r="AA5" t="s">
        <v>68</v>
      </c>
      <c r="AB5" t="s">
        <v>76</v>
      </c>
      <c r="AC5" s="7" t="s">
        <v>69</v>
      </c>
      <c r="AD5" t="s">
        <v>54</v>
      </c>
    </row>
    <row r="6" spans="1:50" x14ac:dyDescent="0.25">
      <c r="A6" t="s">
        <v>125</v>
      </c>
      <c r="B6" t="s">
        <v>126</v>
      </c>
      <c r="C6" s="25">
        <v>44728</v>
      </c>
      <c r="D6" s="15">
        <v>890000</v>
      </c>
      <c r="E6" t="s">
        <v>46</v>
      </c>
      <c r="F6" t="s">
        <v>47</v>
      </c>
      <c r="G6" s="15">
        <v>890000</v>
      </c>
      <c r="H6" s="15">
        <v>426200</v>
      </c>
      <c r="I6" s="20">
        <f>H6/G6*100</f>
        <v>47.887640449438202</v>
      </c>
      <c r="J6" s="15">
        <v>897585</v>
      </c>
      <c r="K6" s="15">
        <f>G6-773192</f>
        <v>116808</v>
      </c>
      <c r="L6" s="15">
        <v>119420</v>
      </c>
      <c r="M6" s="30">
        <v>221.92</v>
      </c>
      <c r="N6" s="34">
        <v>0</v>
      </c>
      <c r="O6" s="39">
        <v>3.59</v>
      </c>
      <c r="P6" s="39">
        <v>3.22</v>
      </c>
      <c r="Q6" s="15">
        <f>K6/M6</f>
        <v>526.35183850036049</v>
      </c>
      <c r="R6" s="15">
        <f>K6/O6</f>
        <v>32537.047353760448</v>
      </c>
      <c r="S6" s="44">
        <f>K6/O6/43560</f>
        <v>0.74694782722131425</v>
      </c>
      <c r="T6" s="39">
        <v>221.92</v>
      </c>
      <c r="U6" s="5" t="s">
        <v>48</v>
      </c>
      <c r="V6" t="s">
        <v>127</v>
      </c>
      <c r="W6" t="s">
        <v>128</v>
      </c>
      <c r="X6" t="s">
        <v>51</v>
      </c>
      <c r="Y6">
        <v>0</v>
      </c>
      <c r="Z6">
        <v>1</v>
      </c>
      <c r="AA6" s="6">
        <v>45191</v>
      </c>
      <c r="AB6" t="s">
        <v>59</v>
      </c>
      <c r="AC6" s="7" t="s">
        <v>60</v>
      </c>
      <c r="AD6" t="s">
        <v>54</v>
      </c>
    </row>
    <row r="7" spans="1:50" x14ac:dyDescent="0.25">
      <c r="A7" t="s">
        <v>153</v>
      </c>
      <c r="B7" t="s">
        <v>154</v>
      </c>
      <c r="C7" s="25">
        <v>44351</v>
      </c>
      <c r="D7" s="15">
        <v>80000</v>
      </c>
      <c r="E7" t="s">
        <v>46</v>
      </c>
      <c r="F7" t="s">
        <v>57</v>
      </c>
      <c r="G7" s="15">
        <v>80000</v>
      </c>
      <c r="H7" s="15">
        <v>30000</v>
      </c>
      <c r="I7" s="20">
        <f>H7/G7*100</f>
        <v>37.5</v>
      </c>
      <c r="J7" s="15">
        <v>80000</v>
      </c>
      <c r="K7" s="15">
        <f>G7-0</f>
        <v>80000</v>
      </c>
      <c r="L7" s="15">
        <v>80000</v>
      </c>
      <c r="M7" s="30">
        <v>109.4</v>
      </c>
      <c r="N7" s="34">
        <v>194.64999399999999</v>
      </c>
      <c r="O7" s="39">
        <v>0.48899999999999999</v>
      </c>
      <c r="P7" s="39">
        <v>0.48899999999999999</v>
      </c>
      <c r="Q7" s="15">
        <f>K7/M7</f>
        <v>731.26142595978058</v>
      </c>
      <c r="R7" s="15">
        <f>K7/O7</f>
        <v>163599.18200408999</v>
      </c>
      <c r="S7" s="44">
        <f>K7/O7/43560</f>
        <v>3.7557204316825068</v>
      </c>
      <c r="T7" s="39">
        <v>109.4</v>
      </c>
      <c r="U7" s="5" t="s">
        <v>48</v>
      </c>
      <c r="V7" t="s">
        <v>155</v>
      </c>
      <c r="X7" t="s">
        <v>51</v>
      </c>
      <c r="Y7">
        <v>0</v>
      </c>
      <c r="Z7">
        <v>0</v>
      </c>
      <c r="AA7" t="s">
        <v>68</v>
      </c>
      <c r="AB7" t="s">
        <v>76</v>
      </c>
      <c r="AC7" s="7" t="s">
        <v>69</v>
      </c>
      <c r="AD7" t="s">
        <v>54</v>
      </c>
    </row>
    <row r="8" spans="1:50" x14ac:dyDescent="0.25">
      <c r="A8" t="s">
        <v>157</v>
      </c>
      <c r="B8" t="s">
        <v>158</v>
      </c>
      <c r="C8" s="25">
        <v>44411</v>
      </c>
      <c r="D8" s="15">
        <v>105000</v>
      </c>
      <c r="E8" t="s">
        <v>46</v>
      </c>
      <c r="F8" t="s">
        <v>57</v>
      </c>
      <c r="G8" s="15">
        <v>105000</v>
      </c>
      <c r="H8" s="15">
        <v>26300</v>
      </c>
      <c r="I8" s="20">
        <f>H8/G8*100</f>
        <v>25.047619047619047</v>
      </c>
      <c r="J8" s="15">
        <v>80000</v>
      </c>
      <c r="K8" s="15">
        <f>G8-0</f>
        <v>105000</v>
      </c>
      <c r="L8" s="15">
        <v>80000</v>
      </c>
      <c r="M8" s="30">
        <v>208.63</v>
      </c>
      <c r="N8" s="34">
        <v>150.16000399999999</v>
      </c>
      <c r="O8" s="39">
        <v>0.71899999999999997</v>
      </c>
      <c r="P8" s="39">
        <v>0.71899999999999997</v>
      </c>
      <c r="Q8" s="15">
        <f>K8/M8</f>
        <v>503.28332454584671</v>
      </c>
      <c r="R8" s="15">
        <f>K8/O8</f>
        <v>146036.16133518776</v>
      </c>
      <c r="S8" s="44">
        <f>K8/O8/43560</f>
        <v>3.3525289562715281</v>
      </c>
      <c r="T8" s="39">
        <v>208.63</v>
      </c>
      <c r="U8" s="5" t="s">
        <v>48</v>
      </c>
      <c r="V8" t="s">
        <v>159</v>
      </c>
      <c r="X8" t="s">
        <v>51</v>
      </c>
      <c r="Y8">
        <v>0</v>
      </c>
      <c r="Z8">
        <v>0</v>
      </c>
      <c r="AA8" t="s">
        <v>68</v>
      </c>
      <c r="AB8" t="s">
        <v>76</v>
      </c>
      <c r="AC8" s="7" t="s">
        <v>69</v>
      </c>
      <c r="AD8" t="s">
        <v>54</v>
      </c>
    </row>
    <row r="9" spans="1:50" x14ac:dyDescent="0.25">
      <c r="A9" t="s">
        <v>181</v>
      </c>
      <c r="B9" t="s">
        <v>182</v>
      </c>
      <c r="C9" s="25">
        <v>44766</v>
      </c>
      <c r="D9" s="15">
        <v>49000</v>
      </c>
      <c r="E9" t="s">
        <v>46</v>
      </c>
      <c r="F9" t="s">
        <v>57</v>
      </c>
      <c r="G9" s="15">
        <v>49000</v>
      </c>
      <c r="H9" s="15">
        <v>13000</v>
      </c>
      <c r="I9" s="20">
        <f>H9/G9*100</f>
        <v>26.530612244897959</v>
      </c>
      <c r="J9" s="15">
        <v>69063</v>
      </c>
      <c r="K9" s="15">
        <f>G9-25563</f>
        <v>23437</v>
      </c>
      <c r="L9" s="15">
        <v>43500</v>
      </c>
      <c r="M9" s="30">
        <v>50</v>
      </c>
      <c r="N9" s="34">
        <v>217</v>
      </c>
      <c r="O9" s="39">
        <v>0</v>
      </c>
      <c r="P9" s="39">
        <v>0</v>
      </c>
      <c r="Q9" s="15">
        <f>K9/M9</f>
        <v>468.74</v>
      </c>
      <c r="R9" s="15" t="e">
        <f>K9/O9</f>
        <v>#DIV/0!</v>
      </c>
      <c r="S9" s="44" t="e">
        <f>K9/O9/43560</f>
        <v>#DIV/0!</v>
      </c>
      <c r="T9" s="39">
        <v>50</v>
      </c>
      <c r="U9" s="5" t="s">
        <v>48</v>
      </c>
      <c r="V9" t="s">
        <v>184</v>
      </c>
      <c r="X9" t="s">
        <v>51</v>
      </c>
      <c r="Y9">
        <v>0</v>
      </c>
      <c r="Z9">
        <v>1</v>
      </c>
      <c r="AA9" s="6">
        <v>44938</v>
      </c>
      <c r="AB9" t="s">
        <v>76</v>
      </c>
      <c r="AC9" s="7" t="s">
        <v>60</v>
      </c>
      <c r="AD9" t="s">
        <v>54</v>
      </c>
    </row>
    <row r="10" spans="1:50" x14ac:dyDescent="0.25">
      <c r="A10" t="s">
        <v>188</v>
      </c>
      <c r="B10" t="s">
        <v>189</v>
      </c>
      <c r="C10" s="25">
        <v>44781</v>
      </c>
      <c r="D10" s="15">
        <v>42500</v>
      </c>
      <c r="E10" t="s">
        <v>46</v>
      </c>
      <c r="F10" t="s">
        <v>57</v>
      </c>
      <c r="G10" s="15">
        <v>42500</v>
      </c>
      <c r="H10" s="15">
        <v>13000</v>
      </c>
      <c r="I10" s="20">
        <f>H10/G10*100</f>
        <v>30.588235294117649</v>
      </c>
      <c r="J10" s="15">
        <v>43500</v>
      </c>
      <c r="K10" s="15">
        <f>G10-0</f>
        <v>42500</v>
      </c>
      <c r="L10" s="15">
        <v>43500</v>
      </c>
      <c r="M10" s="30">
        <v>101</v>
      </c>
      <c r="N10" s="34">
        <v>200</v>
      </c>
      <c r="O10" s="39">
        <v>0</v>
      </c>
      <c r="P10" s="39">
        <v>0</v>
      </c>
      <c r="Q10" s="15">
        <f>K10/M10</f>
        <v>420.79207920792078</v>
      </c>
      <c r="R10" s="15" t="e">
        <f>K10/O10</f>
        <v>#DIV/0!</v>
      </c>
      <c r="S10" s="44" t="e">
        <f>K10/O10/43560</f>
        <v>#DIV/0!</v>
      </c>
      <c r="T10" s="39">
        <v>101</v>
      </c>
      <c r="U10" s="5" t="s">
        <v>48</v>
      </c>
      <c r="V10" t="s">
        <v>190</v>
      </c>
      <c r="X10" t="s">
        <v>51</v>
      </c>
      <c r="Y10">
        <v>0</v>
      </c>
      <c r="Z10">
        <v>1</v>
      </c>
      <c r="AA10" s="6">
        <v>44938</v>
      </c>
      <c r="AB10" t="s">
        <v>76</v>
      </c>
      <c r="AC10" s="7" t="s">
        <v>69</v>
      </c>
      <c r="AD10" t="s">
        <v>54</v>
      </c>
    </row>
    <row r="11" spans="1:50" x14ac:dyDescent="0.25">
      <c r="A11" t="s">
        <v>191</v>
      </c>
      <c r="B11" t="s">
        <v>192</v>
      </c>
      <c r="C11" s="25">
        <v>44329</v>
      </c>
      <c r="D11" s="15">
        <v>86000</v>
      </c>
      <c r="E11" t="s">
        <v>46</v>
      </c>
      <c r="F11" t="s">
        <v>57</v>
      </c>
      <c r="G11" s="15">
        <v>86000</v>
      </c>
      <c r="H11" s="15">
        <v>21000</v>
      </c>
      <c r="I11" s="20">
        <f>H11/G11*100</f>
        <v>24.418604651162788</v>
      </c>
      <c r="J11" s="15">
        <v>130500</v>
      </c>
      <c r="K11" s="15">
        <f>G11-0</f>
        <v>86000</v>
      </c>
      <c r="L11" s="15">
        <v>87000</v>
      </c>
      <c r="M11" s="30">
        <v>200</v>
      </c>
      <c r="N11" s="34">
        <v>400</v>
      </c>
      <c r="O11" s="39">
        <v>0</v>
      </c>
      <c r="P11" s="39">
        <v>0</v>
      </c>
      <c r="Q11" s="15">
        <f>K11/M11</f>
        <v>430</v>
      </c>
      <c r="R11" s="15" t="e">
        <f>K11/O11</f>
        <v>#DIV/0!</v>
      </c>
      <c r="S11" s="44" t="e">
        <f>K11/O11/43560</f>
        <v>#DIV/0!</v>
      </c>
      <c r="T11" s="39">
        <v>200</v>
      </c>
      <c r="U11" s="5" t="s">
        <v>48</v>
      </c>
      <c r="V11" t="s">
        <v>193</v>
      </c>
      <c r="W11" t="s">
        <v>194</v>
      </c>
      <c r="X11" t="s">
        <v>51</v>
      </c>
      <c r="Y11">
        <v>0</v>
      </c>
      <c r="Z11">
        <v>1</v>
      </c>
      <c r="AA11" s="6">
        <v>44938</v>
      </c>
      <c r="AB11" t="s">
        <v>76</v>
      </c>
      <c r="AC11" s="7" t="s">
        <v>53</v>
      </c>
      <c r="AD11" t="s">
        <v>54</v>
      </c>
    </row>
    <row r="12" spans="1:50" x14ac:dyDescent="0.25">
      <c r="A12" t="s">
        <v>194</v>
      </c>
      <c r="B12" t="s">
        <v>196</v>
      </c>
      <c r="C12" s="25">
        <v>44329</v>
      </c>
      <c r="D12" s="15">
        <v>86000</v>
      </c>
      <c r="E12" t="s">
        <v>46</v>
      </c>
      <c r="F12" t="s">
        <v>57</v>
      </c>
      <c r="G12" s="15">
        <v>86000</v>
      </c>
      <c r="H12" s="15">
        <v>21000</v>
      </c>
      <c r="I12" s="20">
        <f>H12/G12*100</f>
        <v>24.418604651162788</v>
      </c>
      <c r="J12" s="15">
        <v>130500</v>
      </c>
      <c r="K12" s="15">
        <f>G12-0</f>
        <v>86000</v>
      </c>
      <c r="L12" s="15">
        <v>87000</v>
      </c>
      <c r="M12" s="30">
        <v>200</v>
      </c>
      <c r="N12" s="34">
        <v>400</v>
      </c>
      <c r="O12" s="39">
        <v>0</v>
      </c>
      <c r="P12" s="39">
        <v>0</v>
      </c>
      <c r="Q12" s="15">
        <f>K12/M12</f>
        <v>430</v>
      </c>
      <c r="R12" s="15" t="e">
        <f>K12/O12</f>
        <v>#DIV/0!</v>
      </c>
      <c r="S12" s="44" t="e">
        <f>K12/O12/43560</f>
        <v>#DIV/0!</v>
      </c>
      <c r="T12" s="39">
        <v>200</v>
      </c>
      <c r="U12" s="5" t="s">
        <v>48</v>
      </c>
      <c r="V12" t="s">
        <v>193</v>
      </c>
      <c r="W12" t="s">
        <v>191</v>
      </c>
      <c r="X12" t="s">
        <v>51</v>
      </c>
      <c r="Y12">
        <v>0</v>
      </c>
      <c r="Z12">
        <v>1</v>
      </c>
      <c r="AA12" t="s">
        <v>68</v>
      </c>
      <c r="AB12" t="s">
        <v>76</v>
      </c>
      <c r="AC12" s="7" t="s">
        <v>53</v>
      </c>
      <c r="AD12" t="s">
        <v>54</v>
      </c>
    </row>
    <row r="13" spans="1:50" x14ac:dyDescent="0.25">
      <c r="A13" t="s">
        <v>197</v>
      </c>
      <c r="B13" t="s">
        <v>198</v>
      </c>
      <c r="C13" s="25">
        <v>44712</v>
      </c>
      <c r="D13" s="15">
        <v>55000</v>
      </c>
      <c r="E13" t="s">
        <v>46</v>
      </c>
      <c r="F13" t="s">
        <v>57</v>
      </c>
      <c r="G13" s="15">
        <v>55000</v>
      </c>
      <c r="H13" s="15">
        <v>13000</v>
      </c>
      <c r="I13" s="20">
        <f>H13/G13*100</f>
        <v>23.636363636363637</v>
      </c>
      <c r="J13" s="15">
        <v>43500</v>
      </c>
      <c r="K13" s="15">
        <f>G13-0</f>
        <v>55000</v>
      </c>
      <c r="L13" s="15">
        <v>43500</v>
      </c>
      <c r="M13" s="30">
        <v>110</v>
      </c>
      <c r="N13" s="34">
        <v>196</v>
      </c>
      <c r="O13" s="39">
        <v>0</v>
      </c>
      <c r="P13" s="39">
        <v>0</v>
      </c>
      <c r="Q13" s="15">
        <f>K13/M13</f>
        <v>500</v>
      </c>
      <c r="R13" s="15" t="e">
        <f>K13/O13</f>
        <v>#DIV/0!</v>
      </c>
      <c r="S13" s="44" t="e">
        <f>K13/O13/43560</f>
        <v>#DIV/0!</v>
      </c>
      <c r="T13" s="39">
        <v>110</v>
      </c>
      <c r="U13" s="5" t="s">
        <v>48</v>
      </c>
      <c r="V13" t="s">
        <v>199</v>
      </c>
      <c r="X13" t="s">
        <v>51</v>
      </c>
      <c r="Y13">
        <v>1</v>
      </c>
      <c r="Z13">
        <v>1</v>
      </c>
      <c r="AA13" t="s">
        <v>68</v>
      </c>
      <c r="AB13" t="s">
        <v>76</v>
      </c>
      <c r="AC13" s="7" t="s">
        <v>69</v>
      </c>
      <c r="AD13" t="s">
        <v>54</v>
      </c>
    </row>
    <row r="14" spans="1:50" x14ac:dyDescent="0.25">
      <c r="A14" t="s">
        <v>207</v>
      </c>
      <c r="B14" t="s">
        <v>208</v>
      </c>
      <c r="C14" s="25">
        <v>44379</v>
      </c>
      <c r="D14" s="15">
        <v>430000</v>
      </c>
      <c r="E14" t="s">
        <v>46</v>
      </c>
      <c r="F14" t="s">
        <v>57</v>
      </c>
      <c r="G14" s="15">
        <v>430000</v>
      </c>
      <c r="H14" s="15">
        <v>209200</v>
      </c>
      <c r="I14" s="20">
        <f>H14/G14*100</f>
        <v>48.651162790697668</v>
      </c>
      <c r="J14" s="15">
        <v>454824</v>
      </c>
      <c r="K14" s="15">
        <f>G14-394814-10010</f>
        <v>25176</v>
      </c>
      <c r="L14" s="15">
        <v>50000</v>
      </c>
      <c r="M14" s="30">
        <v>100</v>
      </c>
      <c r="N14" s="34">
        <v>211</v>
      </c>
      <c r="O14" s="39">
        <v>0.48399999999999999</v>
      </c>
      <c r="P14" s="39">
        <v>0.48399999999999999</v>
      </c>
      <c r="Q14" s="15">
        <f>K14/M14</f>
        <v>251.76</v>
      </c>
      <c r="R14" s="15">
        <f>K14/O14</f>
        <v>52016.528925619838</v>
      </c>
      <c r="S14" s="44">
        <f>K14/O14/43560</f>
        <v>1.194135191129932</v>
      </c>
      <c r="T14" s="39">
        <v>100</v>
      </c>
      <c r="U14" s="5" t="s">
        <v>48</v>
      </c>
      <c r="V14" t="s">
        <v>209</v>
      </c>
      <c r="X14" t="s">
        <v>51</v>
      </c>
      <c r="Y14">
        <v>0</v>
      </c>
      <c r="Z14">
        <v>0</v>
      </c>
      <c r="AA14" s="6">
        <v>45110</v>
      </c>
      <c r="AB14" t="s">
        <v>59</v>
      </c>
      <c r="AC14" s="7" t="s">
        <v>60</v>
      </c>
      <c r="AD14" t="s">
        <v>54</v>
      </c>
    </row>
    <row r="15" spans="1:50" ht="15.75" thickBot="1" x14ac:dyDescent="0.3">
      <c r="A15" t="s">
        <v>210</v>
      </c>
      <c r="B15" t="s">
        <v>211</v>
      </c>
      <c r="C15" s="25">
        <v>44750</v>
      </c>
      <c r="D15" s="15">
        <v>555000</v>
      </c>
      <c r="E15" t="s">
        <v>131</v>
      </c>
      <c r="F15" t="s">
        <v>57</v>
      </c>
      <c r="G15" s="15">
        <v>555000</v>
      </c>
      <c r="H15" s="15">
        <v>258400</v>
      </c>
      <c r="I15" s="20">
        <f>H15/G15*100</f>
        <v>46.558558558558559</v>
      </c>
      <c r="J15" s="15">
        <v>605649</v>
      </c>
      <c r="K15" s="15">
        <f>G15-546211</f>
        <v>8789</v>
      </c>
      <c r="L15" s="15">
        <v>59438</v>
      </c>
      <c r="M15" s="30">
        <v>79.25</v>
      </c>
      <c r="N15" s="34">
        <v>297</v>
      </c>
      <c r="O15" s="39">
        <v>0.54</v>
      </c>
      <c r="P15" s="39">
        <v>0.54</v>
      </c>
      <c r="Q15" s="15">
        <f>K15/M15</f>
        <v>110.90220820189275</v>
      </c>
      <c r="R15" s="15">
        <f>K15/O15</f>
        <v>16275.925925925925</v>
      </c>
      <c r="S15" s="44">
        <f>K15/O15/43560</f>
        <v>0.37364384586606808</v>
      </c>
      <c r="T15" s="39">
        <v>79.25</v>
      </c>
      <c r="U15" s="5" t="s">
        <v>48</v>
      </c>
      <c r="V15" t="s">
        <v>212</v>
      </c>
      <c r="X15" t="s">
        <v>51</v>
      </c>
      <c r="Y15">
        <v>0</v>
      </c>
      <c r="Z15">
        <v>1</v>
      </c>
      <c r="AA15" s="6">
        <v>45110</v>
      </c>
      <c r="AB15" t="s">
        <v>59</v>
      </c>
      <c r="AC15" s="7" t="s">
        <v>60</v>
      </c>
      <c r="AD15" t="s">
        <v>54</v>
      </c>
    </row>
    <row r="16" spans="1:50" ht="15.75" thickTop="1" x14ac:dyDescent="0.25">
      <c r="A16" s="8"/>
      <c r="B16" s="8"/>
      <c r="C16" s="26" t="s">
        <v>222</v>
      </c>
      <c r="D16" s="16">
        <f>+SUM(D2:D15)</f>
        <v>3829900</v>
      </c>
      <c r="E16" s="8"/>
      <c r="F16" s="8"/>
      <c r="G16" s="16">
        <f>+SUM(G2:G15)</f>
        <v>3829900</v>
      </c>
      <c r="H16" s="16">
        <f>+SUM(H2:H15)</f>
        <v>1616700</v>
      </c>
      <c r="I16" s="21"/>
      <c r="J16" s="16">
        <f>+SUM(J2:J15)</f>
        <v>4135114</v>
      </c>
      <c r="K16" s="16">
        <f>+SUM(K2:K15)</f>
        <v>1741360</v>
      </c>
      <c r="L16" s="16">
        <f>+SUM(L2:L15)</f>
        <v>1584757</v>
      </c>
      <c r="M16" s="31">
        <f>+SUM(M2:M15)</f>
        <v>3300.05</v>
      </c>
      <c r="N16" s="35"/>
      <c r="O16" s="40">
        <f>+SUM(O2:O15)</f>
        <v>35.909000000000006</v>
      </c>
      <c r="P16" s="40">
        <f>+SUM(P2:P15)</f>
        <v>28.419000000000004</v>
      </c>
      <c r="Q16" s="16"/>
      <c r="R16" s="16"/>
      <c r="S16" s="45"/>
      <c r="T16" s="40"/>
      <c r="U16" s="9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5">
      <c r="A17" s="10"/>
      <c r="B17" s="10"/>
      <c r="C17" s="27"/>
      <c r="D17" s="17"/>
      <c r="E17" s="10"/>
      <c r="F17" s="10"/>
      <c r="G17" s="17"/>
      <c r="H17" s="17" t="s">
        <v>223</v>
      </c>
      <c r="I17" s="22">
        <f>H16/G16*100</f>
        <v>42.212590407060233</v>
      </c>
      <c r="J17" s="17"/>
      <c r="K17" s="17"/>
      <c r="L17" s="17" t="s">
        <v>224</v>
      </c>
      <c r="M17" s="32"/>
      <c r="N17" s="36"/>
      <c r="O17" s="41" t="s">
        <v>224</v>
      </c>
      <c r="P17" s="41"/>
      <c r="Q17" s="17"/>
      <c r="R17" s="17" t="s">
        <v>224</v>
      </c>
      <c r="S17" s="46"/>
      <c r="T17" s="41"/>
      <c r="U17" s="11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x14ac:dyDescent="0.25">
      <c r="A18" s="12"/>
      <c r="B18" s="12"/>
      <c r="C18" s="28"/>
      <c r="D18" s="18"/>
      <c r="E18" s="12"/>
      <c r="F18" s="12"/>
      <c r="G18" s="18"/>
      <c r="H18" s="18" t="s">
        <v>225</v>
      </c>
      <c r="I18" s="23">
        <f>STDEV(I2:I15)</f>
        <v>11.120910456535542</v>
      </c>
      <c r="J18" s="18"/>
      <c r="K18" s="18"/>
      <c r="L18" s="18" t="s">
        <v>226</v>
      </c>
      <c r="M18" s="48">
        <f>K16/M16</f>
        <v>527.67685338100932</v>
      </c>
      <c r="N18" s="37"/>
      <c r="O18" s="42" t="s">
        <v>227</v>
      </c>
      <c r="P18" s="42">
        <f>K16/O16</f>
        <v>48493.692389094649</v>
      </c>
      <c r="Q18" s="18"/>
      <c r="R18" s="18" t="s">
        <v>228</v>
      </c>
      <c r="S18" s="47">
        <f>K16/O16/43560</f>
        <v>1.1132619924034584</v>
      </c>
      <c r="T18" s="42"/>
      <c r="U18" s="13"/>
      <c r="V18" s="12"/>
      <c r="W18" s="12"/>
      <c r="X18" s="12"/>
      <c r="Y18" s="12"/>
      <c r="Z18" s="12"/>
      <c r="AA18" s="12"/>
      <c r="AB18" s="12"/>
      <c r="AC18" s="12"/>
      <c r="AD18" s="12"/>
    </row>
    <row r="20" spans="1:30" x14ac:dyDescent="0.25">
      <c r="K20" s="53"/>
      <c r="L20" s="54" t="s">
        <v>236</v>
      </c>
      <c r="M20" s="56">
        <v>525</v>
      </c>
    </row>
  </sheetData>
  <conditionalFormatting sqref="A2:AD15">
    <cfRule type="expression" dxfId="31" priority="1" stopIfTrue="1">
      <formula>MOD(ROW(),4)&gt;1</formula>
    </cfRule>
    <cfRule type="expression" dxfId="3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40799-4C4A-4324-BF03-FCE6F4B38E7C}">
  <dimension ref="A1:BL14"/>
  <sheetViews>
    <sheetView workbookViewId="0">
      <selection activeCell="J18" sqref="J18"/>
    </sheetView>
  </sheetViews>
  <sheetFormatPr defaultRowHeight="15" x14ac:dyDescent="0.25"/>
  <cols>
    <col min="1" max="1" width="14.28515625" bestFit="1" customWidth="1"/>
    <col min="2" max="2" width="27.42578125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16.7109375" bestFit="1" customWidth="1"/>
    <col min="7" max="7" width="10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23" bestFit="1" customWidth="1"/>
    <col min="25" max="25" width="6.85546875" bestFit="1" customWidth="1"/>
    <col min="26" max="26" width="6.42578125" bestFit="1" customWidth="1"/>
    <col min="27" max="27" width="14.42578125" bestFit="1" customWidth="1"/>
    <col min="28" max="28" width="11.28515625" bestFit="1" customWidth="1"/>
    <col min="29" max="29" width="5.42578125" bestFit="1" customWidth="1"/>
    <col min="30" max="32" width="12.42578125" bestFit="1" customWidth="1"/>
    <col min="33" max="33" width="18" bestFit="1" customWidth="1"/>
    <col min="34" max="34" width="6.85546875" bestFit="1" customWidth="1"/>
    <col min="35" max="35" width="13.140625" bestFit="1" customWidth="1"/>
    <col min="36" max="36" width="6.5703125" bestFit="1" customWidth="1"/>
    <col min="37" max="37" width="19.85546875" bestFit="1" customWidth="1"/>
    <col min="38" max="38" width="16.42578125" bestFit="1" customWidth="1"/>
    <col min="39" max="39" width="15.42578125" bestFit="1" customWidth="1"/>
    <col min="40" max="40" width="11" bestFit="1" customWidth="1"/>
    <col min="41" max="41" width="16.85546875" bestFit="1" customWidth="1"/>
    <col min="42" max="42" width="21.5703125" bestFit="1" customWidth="1"/>
    <col min="43" max="43" width="21" bestFit="1" customWidth="1"/>
    <col min="44" max="44" width="16.5703125" bestFit="1" customWidth="1"/>
  </cols>
  <sheetData>
    <row r="1" spans="1:64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136</v>
      </c>
      <c r="B2" t="s">
        <v>137</v>
      </c>
      <c r="C2" s="25">
        <v>44484</v>
      </c>
      <c r="D2" s="15">
        <v>557240</v>
      </c>
      <c r="E2" t="s">
        <v>46</v>
      </c>
      <c r="F2" t="s">
        <v>57</v>
      </c>
      <c r="G2" s="15">
        <v>557240</v>
      </c>
      <c r="H2" s="15">
        <v>192100</v>
      </c>
      <c r="I2" s="20">
        <f>H2/G2*100</f>
        <v>34.473476419496087</v>
      </c>
      <c r="J2" s="15">
        <v>509741</v>
      </c>
      <c r="K2" s="15">
        <f>G2-429741</f>
        <v>127499</v>
      </c>
      <c r="L2" s="15">
        <v>80000</v>
      </c>
      <c r="M2" s="30">
        <v>0</v>
      </c>
      <c r="N2" s="34">
        <v>0</v>
      </c>
      <c r="O2" s="39">
        <v>0</v>
      </c>
      <c r="P2" s="39">
        <v>0</v>
      </c>
      <c r="Q2" s="15" t="e">
        <f>K2/M2</f>
        <v>#DIV/0!</v>
      </c>
      <c r="R2" s="15" t="e">
        <f>K2/O2</f>
        <v>#DIV/0!</v>
      </c>
      <c r="S2" s="44" t="e">
        <f>K2/O2/43560</f>
        <v>#DIV/0!</v>
      </c>
      <c r="T2" s="39">
        <v>0</v>
      </c>
      <c r="U2" s="5" t="s">
        <v>48</v>
      </c>
      <c r="V2" t="s">
        <v>138</v>
      </c>
      <c r="X2" t="s">
        <v>51</v>
      </c>
      <c r="Y2">
        <v>0</v>
      </c>
      <c r="Z2">
        <v>1</v>
      </c>
      <c r="AA2" s="6">
        <v>45184</v>
      </c>
      <c r="AB2" t="s">
        <v>139</v>
      </c>
      <c r="AC2" s="7" t="s">
        <v>60</v>
      </c>
    </row>
    <row r="3" spans="1:64" x14ac:dyDescent="0.25">
      <c r="A3" t="s">
        <v>140</v>
      </c>
      <c r="B3" t="s">
        <v>141</v>
      </c>
      <c r="C3" s="25">
        <v>44827</v>
      </c>
      <c r="D3" s="15">
        <v>525000</v>
      </c>
      <c r="E3" t="s">
        <v>46</v>
      </c>
      <c r="F3" t="s">
        <v>57</v>
      </c>
      <c r="G3" s="15">
        <v>525000</v>
      </c>
      <c r="H3" s="15">
        <v>202700</v>
      </c>
      <c r="I3" s="20">
        <f>H3/G3*100</f>
        <v>38.609523809523807</v>
      </c>
      <c r="J3" s="15">
        <v>489049</v>
      </c>
      <c r="K3" s="15">
        <f>G3-409049</f>
        <v>115951</v>
      </c>
      <c r="L3" s="15">
        <v>80000</v>
      </c>
      <c r="M3" s="30">
        <v>0</v>
      </c>
      <c r="N3" s="34">
        <v>0</v>
      </c>
      <c r="O3" s="39">
        <v>0</v>
      </c>
      <c r="P3" s="39">
        <v>0</v>
      </c>
      <c r="Q3" s="15" t="e">
        <f>K3/M3</f>
        <v>#DIV/0!</v>
      </c>
      <c r="R3" s="15" t="e">
        <f>K3/O3</f>
        <v>#DIV/0!</v>
      </c>
      <c r="S3" s="44" t="e">
        <f>K3/O3/43560</f>
        <v>#DIV/0!</v>
      </c>
      <c r="T3" s="39">
        <v>0</v>
      </c>
      <c r="U3" s="5" t="s">
        <v>48</v>
      </c>
      <c r="V3" t="s">
        <v>142</v>
      </c>
      <c r="X3" t="s">
        <v>51</v>
      </c>
      <c r="Y3">
        <v>0</v>
      </c>
      <c r="Z3">
        <v>1</v>
      </c>
      <c r="AA3" s="6">
        <v>45186</v>
      </c>
      <c r="AB3" t="s">
        <v>139</v>
      </c>
      <c r="AC3" s="7" t="s">
        <v>60</v>
      </c>
    </row>
    <row r="4" spans="1:64" x14ac:dyDescent="0.25">
      <c r="A4" t="s">
        <v>153</v>
      </c>
      <c r="B4" t="s">
        <v>154</v>
      </c>
      <c r="C4" s="25">
        <v>44351</v>
      </c>
      <c r="D4" s="15">
        <v>80000</v>
      </c>
      <c r="E4" t="s">
        <v>46</v>
      </c>
      <c r="F4" t="s">
        <v>57</v>
      </c>
      <c r="G4" s="15">
        <v>80000</v>
      </c>
      <c r="H4" s="15">
        <v>30000</v>
      </c>
      <c r="I4" s="20">
        <f>H4/G4*100</f>
        <v>37.5</v>
      </c>
      <c r="J4" s="15">
        <v>80000</v>
      </c>
      <c r="K4" s="15">
        <f>G4-0</f>
        <v>80000</v>
      </c>
      <c r="L4" s="15">
        <v>80000</v>
      </c>
      <c r="M4" s="30">
        <v>109.4</v>
      </c>
      <c r="N4" s="34">
        <v>194.64999399999999</v>
      </c>
      <c r="O4" s="39">
        <v>0.48899999999999999</v>
      </c>
      <c r="P4" s="39">
        <v>0.48899999999999999</v>
      </c>
      <c r="Q4" s="15">
        <f>K4/M4</f>
        <v>731.26142595978058</v>
      </c>
      <c r="R4" s="15">
        <f>K4/O4</f>
        <v>163599.18200408999</v>
      </c>
      <c r="S4" s="44">
        <f>K4/O4/43560</f>
        <v>3.7557204316825068</v>
      </c>
      <c r="T4" s="39">
        <v>109.4</v>
      </c>
      <c r="U4" s="5" t="s">
        <v>48</v>
      </c>
      <c r="V4" t="s">
        <v>155</v>
      </c>
      <c r="X4" t="s">
        <v>51</v>
      </c>
      <c r="Y4">
        <v>0</v>
      </c>
      <c r="Z4">
        <v>0</v>
      </c>
      <c r="AA4" t="s">
        <v>68</v>
      </c>
      <c r="AB4" t="s">
        <v>76</v>
      </c>
      <c r="AC4" s="7" t="s">
        <v>69</v>
      </c>
      <c r="AD4" t="s">
        <v>54</v>
      </c>
    </row>
    <row r="5" spans="1:64" x14ac:dyDescent="0.25">
      <c r="A5" t="s">
        <v>157</v>
      </c>
      <c r="B5" t="s">
        <v>158</v>
      </c>
      <c r="C5" s="25">
        <v>44411</v>
      </c>
      <c r="D5" s="15">
        <v>105000</v>
      </c>
      <c r="E5" t="s">
        <v>46</v>
      </c>
      <c r="F5" t="s">
        <v>57</v>
      </c>
      <c r="G5" s="15">
        <v>105000</v>
      </c>
      <c r="H5" s="15">
        <v>26300</v>
      </c>
      <c r="I5" s="20">
        <f>H5/G5*100</f>
        <v>25.047619047619047</v>
      </c>
      <c r="J5" s="15">
        <v>80000</v>
      </c>
      <c r="K5" s="15">
        <f>G5-0</f>
        <v>105000</v>
      </c>
      <c r="L5" s="15">
        <v>80000</v>
      </c>
      <c r="M5" s="30">
        <v>208.63</v>
      </c>
      <c r="N5" s="34">
        <v>150.16000399999999</v>
      </c>
      <c r="O5" s="39">
        <v>0.71899999999999997</v>
      </c>
      <c r="P5" s="39">
        <v>0.71899999999999997</v>
      </c>
      <c r="Q5" s="15">
        <f>K5/M5</f>
        <v>503.28332454584671</v>
      </c>
      <c r="R5" s="15">
        <f>K5/O5</f>
        <v>146036.16133518776</v>
      </c>
      <c r="S5" s="44">
        <f>K5/O5/43560</f>
        <v>3.3525289562715281</v>
      </c>
      <c r="T5" s="39">
        <v>208.63</v>
      </c>
      <c r="U5" s="5" t="s">
        <v>48</v>
      </c>
      <c r="V5" t="s">
        <v>159</v>
      </c>
      <c r="X5" t="s">
        <v>51</v>
      </c>
      <c r="Y5">
        <v>0</v>
      </c>
      <c r="Z5">
        <v>0</v>
      </c>
      <c r="AA5" t="s">
        <v>68</v>
      </c>
      <c r="AB5" t="s">
        <v>76</v>
      </c>
      <c r="AC5" s="7" t="s">
        <v>69</v>
      </c>
      <c r="AD5" t="s">
        <v>54</v>
      </c>
    </row>
    <row r="6" spans="1:64" x14ac:dyDescent="0.25">
      <c r="A6" t="s">
        <v>143</v>
      </c>
      <c r="B6" t="s">
        <v>144</v>
      </c>
      <c r="C6" s="25">
        <v>44894</v>
      </c>
      <c r="D6" s="15">
        <v>405000</v>
      </c>
      <c r="E6" t="s">
        <v>46</v>
      </c>
      <c r="F6" t="s">
        <v>57</v>
      </c>
      <c r="G6" s="15">
        <v>405000</v>
      </c>
      <c r="H6" s="15">
        <v>182600</v>
      </c>
      <c r="I6" s="20">
        <f>H6/G6*100</f>
        <v>45.086419753086417</v>
      </c>
      <c r="J6" s="15">
        <v>372190</v>
      </c>
      <c r="K6" s="15">
        <f>G6-292190</f>
        <v>112810</v>
      </c>
      <c r="L6" s="15">
        <v>80000</v>
      </c>
      <c r="M6" s="30">
        <v>0</v>
      </c>
      <c r="N6" s="34">
        <v>0</v>
      </c>
      <c r="O6" s="39">
        <v>0</v>
      </c>
      <c r="P6" s="39">
        <v>0</v>
      </c>
      <c r="Q6" s="15" t="e">
        <f>K6/M6</f>
        <v>#DIV/0!</v>
      </c>
      <c r="R6" s="15" t="e">
        <f>K6/O6</f>
        <v>#DIV/0!</v>
      </c>
      <c r="S6" s="44" t="e">
        <f>K6/O6/43560</f>
        <v>#DIV/0!</v>
      </c>
      <c r="T6" s="39">
        <v>0</v>
      </c>
      <c r="U6" s="5" t="s">
        <v>48</v>
      </c>
      <c r="V6" t="s">
        <v>145</v>
      </c>
      <c r="X6" t="s">
        <v>51</v>
      </c>
      <c r="Y6">
        <v>0</v>
      </c>
      <c r="Z6">
        <v>1</v>
      </c>
      <c r="AA6" s="6">
        <v>45186</v>
      </c>
      <c r="AB6" t="s">
        <v>139</v>
      </c>
      <c r="AC6" s="7" t="s">
        <v>60</v>
      </c>
    </row>
    <row r="7" spans="1:64" x14ac:dyDescent="0.25">
      <c r="A7" t="s">
        <v>146</v>
      </c>
      <c r="B7" t="s">
        <v>147</v>
      </c>
      <c r="C7" s="25">
        <v>44491</v>
      </c>
      <c r="D7" s="15">
        <v>545700</v>
      </c>
      <c r="E7" t="s">
        <v>46</v>
      </c>
      <c r="F7" t="s">
        <v>57</v>
      </c>
      <c r="G7" s="15">
        <v>545700</v>
      </c>
      <c r="H7" s="15">
        <v>217700</v>
      </c>
      <c r="I7" s="20">
        <f>H7/G7*100</f>
        <v>39.893714495143854</v>
      </c>
      <c r="J7" s="15">
        <v>567697</v>
      </c>
      <c r="K7" s="15">
        <f>G7-487697</f>
        <v>58003</v>
      </c>
      <c r="L7" s="15">
        <v>80000</v>
      </c>
      <c r="M7" s="30">
        <v>0</v>
      </c>
      <c r="N7" s="34">
        <v>0</v>
      </c>
      <c r="O7" s="39">
        <v>0</v>
      </c>
      <c r="P7" s="39">
        <v>0</v>
      </c>
      <c r="Q7" s="15" t="e">
        <f>K7/M7</f>
        <v>#DIV/0!</v>
      </c>
      <c r="R7" s="15" t="e">
        <f>K7/O7</f>
        <v>#DIV/0!</v>
      </c>
      <c r="S7" s="44" t="e">
        <f>K7/O7/43560</f>
        <v>#DIV/0!</v>
      </c>
      <c r="T7" s="39">
        <v>0</v>
      </c>
      <c r="U7" s="5" t="s">
        <v>48</v>
      </c>
      <c r="V7" t="s">
        <v>148</v>
      </c>
      <c r="X7" t="s">
        <v>51</v>
      </c>
      <c r="Y7">
        <v>0</v>
      </c>
      <c r="Z7">
        <v>1</v>
      </c>
      <c r="AA7" s="6">
        <v>45184</v>
      </c>
      <c r="AB7" t="s">
        <v>139</v>
      </c>
      <c r="AC7" s="7" t="s">
        <v>60</v>
      </c>
    </row>
    <row r="8" spans="1:64" ht="15.75" thickBot="1" x14ac:dyDescent="0.3">
      <c r="A8" t="s">
        <v>149</v>
      </c>
      <c r="B8" t="s">
        <v>150</v>
      </c>
      <c r="C8" s="25">
        <v>44364</v>
      </c>
      <c r="D8" s="15">
        <v>375000</v>
      </c>
      <c r="E8" t="s">
        <v>46</v>
      </c>
      <c r="F8" t="s">
        <v>57</v>
      </c>
      <c r="G8" s="15">
        <v>375000</v>
      </c>
      <c r="H8" s="15">
        <v>159900</v>
      </c>
      <c r="I8" s="20">
        <f>H8/G8*100</f>
        <v>42.64</v>
      </c>
      <c r="J8" s="15">
        <v>404781</v>
      </c>
      <c r="K8" s="15">
        <f>G8-324781</f>
        <v>50219</v>
      </c>
      <c r="L8" s="15">
        <v>80000</v>
      </c>
      <c r="M8" s="30">
        <v>0</v>
      </c>
      <c r="N8" s="34">
        <v>0</v>
      </c>
      <c r="O8" s="39">
        <v>0</v>
      </c>
      <c r="P8" s="39">
        <v>0</v>
      </c>
      <c r="Q8" s="15" t="e">
        <f>K8/M8</f>
        <v>#DIV/0!</v>
      </c>
      <c r="R8" s="15" t="e">
        <f>K8/O8</f>
        <v>#DIV/0!</v>
      </c>
      <c r="S8" s="44" t="e">
        <f>K8/O8/43560</f>
        <v>#DIV/0!</v>
      </c>
      <c r="T8" s="39">
        <v>0</v>
      </c>
      <c r="U8" s="5" t="s">
        <v>48</v>
      </c>
      <c r="V8" t="s">
        <v>151</v>
      </c>
      <c r="X8" t="s">
        <v>51</v>
      </c>
      <c r="Y8">
        <v>0</v>
      </c>
      <c r="Z8">
        <v>1</v>
      </c>
      <c r="AA8" s="6">
        <v>45184</v>
      </c>
      <c r="AB8" t="s">
        <v>152</v>
      </c>
      <c r="AC8" s="7" t="s">
        <v>60</v>
      </c>
    </row>
    <row r="9" spans="1:64" ht="15.75" thickTop="1" x14ac:dyDescent="0.25">
      <c r="A9" s="8"/>
      <c r="B9" s="8"/>
      <c r="C9" s="26" t="s">
        <v>222</v>
      </c>
      <c r="D9" s="16">
        <f>+SUM(D2:D8)</f>
        <v>2592940</v>
      </c>
      <c r="E9" s="8"/>
      <c r="F9" s="8"/>
      <c r="G9" s="16">
        <f>+SUM(G2:G8)</f>
        <v>2592940</v>
      </c>
      <c r="H9" s="16">
        <f>+SUM(H2:H8)</f>
        <v>1011300</v>
      </c>
      <c r="I9" s="21"/>
      <c r="J9" s="16">
        <f>+SUM(J2:J8)</f>
        <v>2503458</v>
      </c>
      <c r="K9" s="16">
        <f>+SUM(K2:K8)</f>
        <v>649482</v>
      </c>
      <c r="L9" s="16">
        <f>+SUM(L2:L8)</f>
        <v>560000</v>
      </c>
      <c r="M9" s="31">
        <f>+SUM(M2:M8)</f>
        <v>318.02999999999997</v>
      </c>
      <c r="N9" s="35"/>
      <c r="O9" s="40">
        <f>+SUM(O2:O8)</f>
        <v>1.208</v>
      </c>
      <c r="P9" s="40">
        <f>+SUM(P2:P8)</f>
        <v>1.208</v>
      </c>
      <c r="Q9" s="16"/>
      <c r="R9" s="16"/>
      <c r="S9" s="45"/>
      <c r="T9" s="40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64" x14ac:dyDescent="0.25">
      <c r="A10" s="10"/>
      <c r="B10" s="10"/>
      <c r="C10" s="27"/>
      <c r="D10" s="17"/>
      <c r="E10" s="10"/>
      <c r="F10" s="10"/>
      <c r="G10" s="17"/>
      <c r="H10" s="17" t="s">
        <v>223</v>
      </c>
      <c r="I10" s="22">
        <f>H9/G9*100</f>
        <v>39.002059438320977</v>
      </c>
      <c r="J10" s="17"/>
      <c r="K10" s="17"/>
      <c r="L10" s="17" t="s">
        <v>224</v>
      </c>
      <c r="M10" s="32"/>
      <c r="N10" s="36"/>
      <c r="O10" s="41" t="s">
        <v>224</v>
      </c>
      <c r="P10" s="41"/>
      <c r="Q10" s="17"/>
      <c r="R10" s="17" t="s">
        <v>224</v>
      </c>
      <c r="S10" s="46"/>
      <c r="T10" s="41"/>
      <c r="U10" s="11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64" x14ac:dyDescent="0.25">
      <c r="A11" s="12"/>
      <c r="B11" s="12"/>
      <c r="C11" s="28"/>
      <c r="D11" s="18"/>
      <c r="E11" s="12"/>
      <c r="F11" s="12"/>
      <c r="G11" s="18"/>
      <c r="H11" s="18" t="s">
        <v>225</v>
      </c>
      <c r="I11" s="23">
        <f>STDEV(I2:I8)</f>
        <v>6.5201660831500661</v>
      </c>
      <c r="J11" s="18"/>
      <c r="K11" s="18"/>
      <c r="L11" s="18" t="s">
        <v>226</v>
      </c>
      <c r="M11" s="48">
        <f>K9/M9</f>
        <v>2042.2035657013491</v>
      </c>
      <c r="N11" s="37"/>
      <c r="O11" s="42" t="s">
        <v>227</v>
      </c>
      <c r="P11" s="42">
        <f>K9/O9</f>
        <v>537650.66225165559</v>
      </c>
      <c r="Q11" s="18"/>
      <c r="R11" s="18" t="s">
        <v>228</v>
      </c>
      <c r="S11" s="47">
        <f>K9/O9/43560</f>
        <v>12.342760841406236</v>
      </c>
      <c r="T11" s="42"/>
      <c r="U11" s="1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3" spans="1:64" x14ac:dyDescent="0.25">
      <c r="J13" s="52" t="s">
        <v>235</v>
      </c>
      <c r="K13" s="15">
        <f>AVERAGE(K2:K8)</f>
        <v>92783.142857142855</v>
      </c>
    </row>
    <row r="14" spans="1:64" x14ac:dyDescent="0.25">
      <c r="I14" s="55"/>
      <c r="J14" s="54" t="s">
        <v>234</v>
      </c>
      <c r="K14" s="53">
        <v>92800</v>
      </c>
    </row>
  </sheetData>
  <conditionalFormatting sqref="A6:AR8 A2:AR3">
    <cfRule type="expression" dxfId="13" priority="3" stopIfTrue="1">
      <formula>MOD(ROW(),4)&gt;1</formula>
    </cfRule>
    <cfRule type="expression" dxfId="12" priority="4" stopIfTrue="1">
      <formula>MOD(ROW(),4)&lt;2</formula>
    </cfRule>
  </conditionalFormatting>
  <conditionalFormatting sqref="A4:AR5">
    <cfRule type="expression" dxfId="11" priority="1" stopIfTrue="1">
      <formula>MOD(ROW(),4)&gt;1</formula>
    </cfRule>
    <cfRule type="expression" dxfId="1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D9875-4066-4871-B9A2-A86F9115700C}">
  <dimension ref="A1:BL8"/>
  <sheetViews>
    <sheetView workbookViewId="0">
      <selection activeCell="K8" sqref="I8:K8"/>
    </sheetView>
  </sheetViews>
  <sheetFormatPr defaultRowHeight="15" x14ac:dyDescent="0.25"/>
  <cols>
    <col min="1" max="1" width="14.28515625" bestFit="1" customWidth="1"/>
    <col min="2" max="2" width="22.7109375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16.7109375" bestFit="1" customWidth="1"/>
    <col min="7" max="7" width="10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2.4257812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23" bestFit="1" customWidth="1"/>
    <col min="25" max="25" width="6.85546875" bestFit="1" customWidth="1"/>
    <col min="26" max="26" width="6.42578125" bestFit="1" customWidth="1"/>
    <col min="27" max="27" width="14.42578125" bestFit="1" customWidth="1"/>
    <col min="28" max="28" width="11.28515625" bestFit="1" customWidth="1"/>
    <col min="29" max="29" width="5.42578125" bestFit="1" customWidth="1"/>
    <col min="30" max="32" width="12.42578125" bestFit="1" customWidth="1"/>
    <col min="33" max="33" width="18" bestFit="1" customWidth="1"/>
    <col min="34" max="34" width="6.85546875" bestFit="1" customWidth="1"/>
    <col min="35" max="35" width="13.140625" bestFit="1" customWidth="1"/>
    <col min="36" max="36" width="6.5703125" bestFit="1" customWidth="1"/>
    <col min="37" max="37" width="19.85546875" bestFit="1" customWidth="1"/>
    <col min="38" max="38" width="16.42578125" bestFit="1" customWidth="1"/>
    <col min="39" max="39" width="15.42578125" bestFit="1" customWidth="1"/>
    <col min="40" max="40" width="11" bestFit="1" customWidth="1"/>
    <col min="41" max="41" width="16.85546875" bestFit="1" customWidth="1"/>
    <col min="42" max="42" width="21.5703125" bestFit="1" customWidth="1"/>
    <col min="43" max="43" width="21" bestFit="1" customWidth="1"/>
    <col min="44" max="44" width="16.5703125" bestFit="1" customWidth="1"/>
  </cols>
  <sheetData>
    <row r="1" spans="1:64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216</v>
      </c>
      <c r="B2" t="s">
        <v>217</v>
      </c>
      <c r="C2" s="25">
        <v>44819</v>
      </c>
      <c r="D2" s="15">
        <v>572000</v>
      </c>
      <c r="E2" t="s">
        <v>46</v>
      </c>
      <c r="F2" t="s">
        <v>57</v>
      </c>
      <c r="G2" s="15">
        <v>572000</v>
      </c>
      <c r="H2" s="15">
        <v>30000</v>
      </c>
      <c r="I2" s="20">
        <f>H2/G2*100</f>
        <v>5.244755244755245</v>
      </c>
      <c r="J2" s="15">
        <v>534855</v>
      </c>
      <c r="K2" s="15">
        <f>G2-466355</f>
        <v>105645</v>
      </c>
      <c r="L2" s="15">
        <v>68500</v>
      </c>
      <c r="M2" s="30">
        <v>0</v>
      </c>
      <c r="N2" s="34">
        <v>0</v>
      </c>
      <c r="O2" s="39">
        <v>4.8000000000000001E-2</v>
      </c>
      <c r="P2" s="39">
        <v>4.8000000000000001E-2</v>
      </c>
      <c r="Q2" s="15" t="e">
        <f>K2/M2</f>
        <v>#DIV/0!</v>
      </c>
      <c r="R2" s="15">
        <f>K2/O2</f>
        <v>2200937.5</v>
      </c>
      <c r="S2" s="44">
        <f>K2/O2/43560</f>
        <v>50.526572543617995</v>
      </c>
      <c r="T2" s="39">
        <v>0</v>
      </c>
      <c r="U2" s="5" t="s">
        <v>48</v>
      </c>
      <c r="V2" t="s">
        <v>218</v>
      </c>
      <c r="X2" t="s">
        <v>51</v>
      </c>
      <c r="Y2">
        <v>0</v>
      </c>
      <c r="Z2">
        <v>1</v>
      </c>
      <c r="AA2" s="6">
        <v>45199</v>
      </c>
      <c r="AB2" t="s">
        <v>76</v>
      </c>
      <c r="AC2" s="7" t="s">
        <v>60</v>
      </c>
    </row>
    <row r="3" spans="1:64" ht="15.75" thickBot="1" x14ac:dyDescent="0.3">
      <c r="A3" t="s">
        <v>219</v>
      </c>
      <c r="B3" t="s">
        <v>220</v>
      </c>
      <c r="C3" s="25">
        <v>44468</v>
      </c>
      <c r="D3" s="15">
        <v>485000</v>
      </c>
      <c r="E3" t="s">
        <v>46</v>
      </c>
      <c r="F3" t="s">
        <v>57</v>
      </c>
      <c r="G3" s="15">
        <v>485000</v>
      </c>
      <c r="H3" s="15">
        <v>240300</v>
      </c>
      <c r="I3" s="20">
        <f>H3/G3*100</f>
        <v>49.546391752577321</v>
      </c>
      <c r="J3" s="15">
        <v>545108</v>
      </c>
      <c r="K3" s="15">
        <f>G3-476608</f>
        <v>8392</v>
      </c>
      <c r="L3" s="15">
        <v>68500</v>
      </c>
      <c r="M3" s="30">
        <v>0</v>
      </c>
      <c r="N3" s="34">
        <v>0</v>
      </c>
      <c r="O3" s="39">
        <v>5.1999999999999998E-2</v>
      </c>
      <c r="P3" s="39">
        <v>5.1999999999999998E-2</v>
      </c>
      <c r="Q3" s="15" t="e">
        <f>K3/M3</f>
        <v>#DIV/0!</v>
      </c>
      <c r="R3" s="15">
        <f>K3/O3</f>
        <v>161384.6153846154</v>
      </c>
      <c r="S3" s="44">
        <f>K3/O3/43560</f>
        <v>3.704880977608251</v>
      </c>
      <c r="T3" s="39">
        <v>0</v>
      </c>
      <c r="U3" s="5" t="s">
        <v>48</v>
      </c>
      <c r="V3" t="s">
        <v>221</v>
      </c>
      <c r="X3" t="s">
        <v>51</v>
      </c>
      <c r="Y3">
        <v>0</v>
      </c>
      <c r="Z3">
        <v>1</v>
      </c>
      <c r="AA3" s="6">
        <v>45200</v>
      </c>
      <c r="AB3" t="s">
        <v>139</v>
      </c>
      <c r="AC3" s="7" t="s">
        <v>60</v>
      </c>
    </row>
    <row r="4" spans="1:64" ht="15.75" thickTop="1" x14ac:dyDescent="0.25">
      <c r="A4" s="8"/>
      <c r="B4" s="8"/>
      <c r="C4" s="26" t="s">
        <v>222</v>
      </c>
      <c r="D4" s="16">
        <f>+SUM(D2:D3)</f>
        <v>1057000</v>
      </c>
      <c r="E4" s="8"/>
      <c r="F4" s="8"/>
      <c r="G4" s="16">
        <f>+SUM(G2:G3)</f>
        <v>1057000</v>
      </c>
      <c r="H4" s="16">
        <f>+SUM(H2:H3)</f>
        <v>270300</v>
      </c>
      <c r="I4" s="21"/>
      <c r="J4" s="16">
        <f>+SUM(J2:J3)</f>
        <v>1079963</v>
      </c>
      <c r="K4" s="16">
        <f>+SUM(K2:K3)</f>
        <v>114037</v>
      </c>
      <c r="L4" s="16">
        <f>+SUM(L2:L3)</f>
        <v>137000</v>
      </c>
      <c r="M4" s="31">
        <f>+SUM(M2:M3)</f>
        <v>0</v>
      </c>
      <c r="N4" s="35"/>
      <c r="O4" s="40">
        <f>+SUM(O2:O3)</f>
        <v>0.1</v>
      </c>
      <c r="P4" s="40">
        <f>+SUM(P2:P3)</f>
        <v>0.1</v>
      </c>
      <c r="Q4" s="16"/>
      <c r="R4" s="16"/>
      <c r="S4" s="45"/>
      <c r="T4" s="40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64" x14ac:dyDescent="0.25">
      <c r="A5" s="10"/>
      <c r="B5" s="10"/>
      <c r="C5" s="27"/>
      <c r="D5" s="17"/>
      <c r="E5" s="10"/>
      <c r="F5" s="10"/>
      <c r="G5" s="17"/>
      <c r="H5" s="17" t="s">
        <v>223</v>
      </c>
      <c r="I5" s="22">
        <f>H4/G4*100</f>
        <v>25.572374645222329</v>
      </c>
      <c r="J5" s="17"/>
      <c r="K5" s="17"/>
      <c r="L5" s="17" t="s">
        <v>224</v>
      </c>
      <c r="M5" s="32"/>
      <c r="N5" s="36"/>
      <c r="O5" s="41" t="s">
        <v>224</v>
      </c>
      <c r="P5" s="41"/>
      <c r="Q5" s="17"/>
      <c r="R5" s="17" t="s">
        <v>224</v>
      </c>
      <c r="S5" s="46"/>
      <c r="T5" s="41"/>
      <c r="U5" s="11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64" x14ac:dyDescent="0.25">
      <c r="A6" s="12"/>
      <c r="B6" s="12"/>
      <c r="C6" s="28"/>
      <c r="D6" s="18"/>
      <c r="E6" s="12"/>
      <c r="F6" s="12"/>
      <c r="G6" s="18"/>
      <c r="H6" s="18" t="s">
        <v>225</v>
      </c>
      <c r="I6" s="23">
        <f>STDEV(I2:I3)</f>
        <v>31.325987592342514</v>
      </c>
      <c r="J6" s="18"/>
      <c r="K6" s="18"/>
      <c r="L6" s="18" t="s">
        <v>226</v>
      </c>
      <c r="M6" s="48" t="e">
        <f>K4/M4</f>
        <v>#DIV/0!</v>
      </c>
      <c r="N6" s="37"/>
      <c r="O6" s="42" t="s">
        <v>227</v>
      </c>
      <c r="P6" s="42">
        <f>K4/O4</f>
        <v>1140370</v>
      </c>
      <c r="Q6" s="18"/>
      <c r="R6" s="18" t="s">
        <v>228</v>
      </c>
      <c r="S6" s="47">
        <f>K4/O4/43560</f>
        <v>26.179292929292931</v>
      </c>
      <c r="T6" s="42"/>
      <c r="U6" s="1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8" spans="1:64" x14ac:dyDescent="0.25">
      <c r="I8" s="55"/>
      <c r="J8" s="54" t="s">
        <v>232</v>
      </c>
      <c r="K8" s="53">
        <v>72500</v>
      </c>
    </row>
  </sheetData>
  <conditionalFormatting sqref="A2:AR3">
    <cfRule type="expression" dxfId="9" priority="1" stopIfTrue="1">
      <formula>MOD(ROW(),4)&gt;1</formula>
    </cfRule>
    <cfRule type="expression" dxfId="8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03053-5566-4793-8E59-5AC6633FD55E}">
  <dimension ref="A1:BL9"/>
  <sheetViews>
    <sheetView workbookViewId="0">
      <selection activeCell="I9" sqref="I9:K9"/>
    </sheetView>
  </sheetViews>
  <sheetFormatPr defaultRowHeight="15" x14ac:dyDescent="0.25"/>
  <cols>
    <col min="1" max="1" width="14.28515625" bestFit="1" customWidth="1"/>
    <col min="2" max="2" width="19.5703125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16.7109375" bestFit="1" customWidth="1"/>
    <col min="7" max="7" width="10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23" bestFit="1" customWidth="1"/>
    <col min="25" max="25" width="6.85546875" bestFit="1" customWidth="1"/>
    <col min="26" max="26" width="6.42578125" bestFit="1" customWidth="1"/>
    <col min="27" max="27" width="14.42578125" bestFit="1" customWidth="1"/>
    <col min="28" max="28" width="12.42578125" bestFit="1" customWidth="1"/>
    <col min="29" max="29" width="5.42578125" bestFit="1" customWidth="1"/>
    <col min="30" max="30" width="13.42578125" bestFit="1" customWidth="1"/>
    <col min="31" max="32" width="12.42578125" bestFit="1" customWidth="1"/>
    <col min="33" max="33" width="18" bestFit="1" customWidth="1"/>
    <col min="34" max="34" width="6.85546875" bestFit="1" customWidth="1"/>
    <col min="35" max="35" width="13.140625" bestFit="1" customWidth="1"/>
    <col min="36" max="36" width="6.5703125" bestFit="1" customWidth="1"/>
    <col min="37" max="37" width="19.85546875" bestFit="1" customWidth="1"/>
    <col min="38" max="38" width="16.42578125" bestFit="1" customWidth="1"/>
    <col min="39" max="39" width="15.42578125" bestFit="1" customWidth="1"/>
    <col min="40" max="40" width="11" bestFit="1" customWidth="1"/>
    <col min="41" max="41" width="16.85546875" bestFit="1" customWidth="1"/>
    <col min="42" max="42" width="21.5703125" bestFit="1" customWidth="1"/>
    <col min="43" max="43" width="21" bestFit="1" customWidth="1"/>
    <col min="44" max="44" width="16.5703125" bestFit="1" customWidth="1"/>
  </cols>
  <sheetData>
    <row r="1" spans="1:64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171</v>
      </c>
      <c r="B2" t="s">
        <v>172</v>
      </c>
      <c r="C2" s="25">
        <v>44671</v>
      </c>
      <c r="D2" s="15">
        <v>565000</v>
      </c>
      <c r="E2" t="s">
        <v>46</v>
      </c>
      <c r="F2" t="s">
        <v>57</v>
      </c>
      <c r="G2" s="15">
        <v>565000</v>
      </c>
      <c r="H2" s="15">
        <v>207300</v>
      </c>
      <c r="I2" s="20">
        <f>H2/G2*100</f>
        <v>36.690265486725664</v>
      </c>
      <c r="J2" s="15">
        <v>485487</v>
      </c>
      <c r="K2" s="15">
        <f>G2-442012</f>
        <v>122988</v>
      </c>
      <c r="L2" s="15">
        <v>43475</v>
      </c>
      <c r="M2" s="30">
        <v>47</v>
      </c>
      <c r="N2" s="34">
        <v>250</v>
      </c>
      <c r="O2" s="39">
        <v>0.27</v>
      </c>
      <c r="P2" s="39">
        <v>0.27</v>
      </c>
      <c r="Q2" s="15">
        <f>K2/M2</f>
        <v>2616.7659574468084</v>
      </c>
      <c r="R2" s="15">
        <f>K2/O2</f>
        <v>455511.11111111107</v>
      </c>
      <c r="S2" s="44">
        <f>K2/O2/43560</f>
        <v>10.457096214671971</v>
      </c>
      <c r="T2" s="39">
        <v>47</v>
      </c>
      <c r="U2" s="5" t="s">
        <v>48</v>
      </c>
      <c r="V2" t="s">
        <v>173</v>
      </c>
      <c r="X2" t="s">
        <v>51</v>
      </c>
      <c r="Y2">
        <v>0</v>
      </c>
      <c r="Z2">
        <v>1</v>
      </c>
      <c r="AA2" s="6">
        <v>45123</v>
      </c>
      <c r="AB2" t="s">
        <v>59</v>
      </c>
      <c r="AC2" s="7" t="s">
        <v>60</v>
      </c>
      <c r="AD2" t="s">
        <v>174</v>
      </c>
    </row>
    <row r="3" spans="1:64" ht="15.75" thickBot="1" x14ac:dyDescent="0.3">
      <c r="A3" t="s">
        <v>175</v>
      </c>
      <c r="B3" t="s">
        <v>176</v>
      </c>
      <c r="C3" s="25">
        <v>44839</v>
      </c>
      <c r="D3" s="15">
        <v>450000</v>
      </c>
      <c r="E3" t="s">
        <v>46</v>
      </c>
      <c r="F3" t="s">
        <v>57</v>
      </c>
      <c r="G3" s="15">
        <v>450000</v>
      </c>
      <c r="H3" s="15">
        <v>213900</v>
      </c>
      <c r="I3" s="20">
        <f>H3/G3*100</f>
        <v>47.533333333333331</v>
      </c>
      <c r="J3" s="15">
        <v>499224</v>
      </c>
      <c r="K3" s="15">
        <f>G3-441724</f>
        <v>8276</v>
      </c>
      <c r="L3" s="15">
        <v>57500</v>
      </c>
      <c r="M3" s="30">
        <v>115</v>
      </c>
      <c r="N3" s="34">
        <v>200</v>
      </c>
      <c r="O3" s="39">
        <v>0.52800000000000002</v>
      </c>
      <c r="P3" s="39">
        <v>0.52800000000000002</v>
      </c>
      <c r="Q3" s="15">
        <f>K3/M3</f>
        <v>71.96521739130435</v>
      </c>
      <c r="R3" s="15">
        <f>K3/O3</f>
        <v>15674.242424242424</v>
      </c>
      <c r="S3" s="44">
        <f>K3/O3/43560</f>
        <v>0.35983109330216767</v>
      </c>
      <c r="T3" s="39">
        <v>115</v>
      </c>
      <c r="U3" s="5" t="s">
        <v>48</v>
      </c>
      <c r="V3" t="s">
        <v>177</v>
      </c>
      <c r="X3" t="s">
        <v>51</v>
      </c>
      <c r="Y3">
        <v>0</v>
      </c>
      <c r="Z3">
        <v>1</v>
      </c>
      <c r="AA3" s="6">
        <v>45123</v>
      </c>
      <c r="AB3" t="s">
        <v>59</v>
      </c>
      <c r="AC3" s="7" t="s">
        <v>60</v>
      </c>
      <c r="AD3" t="s">
        <v>54</v>
      </c>
    </row>
    <row r="4" spans="1:64" ht="15.75" thickTop="1" x14ac:dyDescent="0.25">
      <c r="A4" s="8"/>
      <c r="B4" s="8"/>
      <c r="C4" s="26" t="s">
        <v>222</v>
      </c>
      <c r="D4" s="16">
        <f>+SUM(D2:D3)</f>
        <v>1015000</v>
      </c>
      <c r="E4" s="8"/>
      <c r="F4" s="8"/>
      <c r="G4" s="16">
        <f>+SUM(G2:G3)</f>
        <v>1015000</v>
      </c>
      <c r="H4" s="16">
        <f>+SUM(H2:H3)</f>
        <v>421200</v>
      </c>
      <c r="I4" s="21"/>
      <c r="J4" s="16">
        <f>+SUM(J2:J3)</f>
        <v>984711</v>
      </c>
      <c r="K4" s="16">
        <f>+SUM(K2:K3)</f>
        <v>131264</v>
      </c>
      <c r="L4" s="16">
        <f>+SUM(L2:L3)</f>
        <v>100975</v>
      </c>
      <c r="M4" s="31">
        <f>+SUM(M2:M3)</f>
        <v>162</v>
      </c>
      <c r="N4" s="35"/>
      <c r="O4" s="40">
        <f>+SUM(O2:O3)</f>
        <v>0.79800000000000004</v>
      </c>
      <c r="P4" s="40">
        <f>+SUM(P2:P3)</f>
        <v>0.79800000000000004</v>
      </c>
      <c r="Q4" s="16"/>
      <c r="R4" s="16"/>
      <c r="S4" s="45"/>
      <c r="T4" s="40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64" x14ac:dyDescent="0.25">
      <c r="A5" s="10"/>
      <c r="B5" s="10"/>
      <c r="C5" s="27"/>
      <c r="D5" s="17"/>
      <c r="E5" s="10"/>
      <c r="F5" s="10"/>
      <c r="G5" s="17"/>
      <c r="H5" s="17" t="s">
        <v>223</v>
      </c>
      <c r="I5" s="22">
        <f>H4/G4*100</f>
        <v>41.497536945812804</v>
      </c>
      <c r="J5" s="17"/>
      <c r="K5" s="17"/>
      <c r="L5" s="17" t="s">
        <v>224</v>
      </c>
      <c r="M5" s="32"/>
      <c r="N5" s="36"/>
      <c r="O5" s="41" t="s">
        <v>224</v>
      </c>
      <c r="P5" s="41"/>
      <c r="Q5" s="17"/>
      <c r="R5" s="17" t="s">
        <v>224</v>
      </c>
      <c r="S5" s="46"/>
      <c r="T5" s="41"/>
      <c r="U5" s="11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64" x14ac:dyDescent="0.25">
      <c r="A6" s="12"/>
      <c r="B6" s="12"/>
      <c r="C6" s="28"/>
      <c r="D6" s="18"/>
      <c r="E6" s="12"/>
      <c r="F6" s="12"/>
      <c r="G6" s="18"/>
      <c r="H6" s="18" t="s">
        <v>225</v>
      </c>
      <c r="I6" s="23">
        <f>STDEV(I2:I3)</f>
        <v>7.6672068032021361</v>
      </c>
      <c r="J6" s="18"/>
      <c r="K6" s="18"/>
      <c r="L6" s="18" t="s">
        <v>226</v>
      </c>
      <c r="M6" s="48">
        <f>K4/M4</f>
        <v>810.27160493827159</v>
      </c>
      <c r="N6" s="37"/>
      <c r="O6" s="42" t="s">
        <v>227</v>
      </c>
      <c r="P6" s="42">
        <f>K4/O4</f>
        <v>164491.22807017542</v>
      </c>
      <c r="Q6" s="18"/>
      <c r="R6" s="18" t="s">
        <v>228</v>
      </c>
      <c r="S6" s="47">
        <f>K4/O4/43560</f>
        <v>3.7761989915099958</v>
      </c>
      <c r="T6" s="42"/>
      <c r="U6" s="1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9" spans="1:64" x14ac:dyDescent="0.25">
      <c r="I9" s="55"/>
      <c r="J9" s="54" t="s">
        <v>232</v>
      </c>
      <c r="K9" s="53">
        <v>72500</v>
      </c>
    </row>
  </sheetData>
  <conditionalFormatting sqref="A2:AR3">
    <cfRule type="expression" dxfId="7" priority="1" stopIfTrue="1">
      <formula>MOD(ROW(),4)&gt;1</formula>
    </cfRule>
    <cfRule type="expression" dxfId="6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7ECCF-B574-4716-AACA-3F9291E997A1}">
  <dimension ref="A1:BL9"/>
  <sheetViews>
    <sheetView workbookViewId="0">
      <selection activeCell="A3" sqref="A2:XFD3"/>
    </sheetView>
  </sheetViews>
  <sheetFormatPr defaultRowHeight="15" x14ac:dyDescent="0.25"/>
  <cols>
    <col min="1" max="1" width="14.28515625" bestFit="1" customWidth="1"/>
    <col min="2" max="2" width="16.85546875" bestFit="1" customWidth="1"/>
    <col min="3" max="3" width="9.28515625" style="25" bestFit="1" customWidth="1"/>
    <col min="4" max="4" width="9.5703125" style="15" bestFit="1" customWidth="1"/>
    <col min="5" max="5" width="5.5703125" bestFit="1" customWidth="1"/>
    <col min="6" max="6" width="16.7109375" bestFit="1" customWidth="1"/>
    <col min="7" max="7" width="10.14062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23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0" width="13.42578125" bestFit="1" customWidth="1"/>
    <col min="31" max="32" width="12.42578125" bestFit="1" customWidth="1"/>
    <col min="33" max="33" width="18" bestFit="1" customWidth="1"/>
    <col min="34" max="34" width="6.85546875" bestFit="1" customWidth="1"/>
    <col min="35" max="35" width="13.140625" bestFit="1" customWidth="1"/>
    <col min="36" max="36" width="6.5703125" bestFit="1" customWidth="1"/>
    <col min="37" max="37" width="19.85546875" bestFit="1" customWidth="1"/>
    <col min="38" max="38" width="16.42578125" bestFit="1" customWidth="1"/>
    <col min="39" max="39" width="15.42578125" bestFit="1" customWidth="1"/>
    <col min="40" max="40" width="11" bestFit="1" customWidth="1"/>
    <col min="41" max="41" width="16.85546875" bestFit="1" customWidth="1"/>
    <col min="42" max="42" width="21.5703125" bestFit="1" customWidth="1"/>
    <col min="43" max="43" width="21" bestFit="1" customWidth="1"/>
    <col min="44" max="44" width="16.5703125" bestFit="1" customWidth="1"/>
  </cols>
  <sheetData>
    <row r="1" spans="1:64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153</v>
      </c>
      <c r="B2" t="s">
        <v>154</v>
      </c>
      <c r="C2" s="25">
        <v>44351</v>
      </c>
      <c r="D2" s="15">
        <v>80000</v>
      </c>
      <c r="E2" t="s">
        <v>46</v>
      </c>
      <c r="F2" t="s">
        <v>57</v>
      </c>
      <c r="G2" s="15">
        <v>80000</v>
      </c>
      <c r="H2" s="15">
        <v>30000</v>
      </c>
      <c r="I2" s="20">
        <f>H2/G2*100</f>
        <v>37.5</v>
      </c>
      <c r="J2" s="15">
        <v>80000</v>
      </c>
      <c r="K2" s="15">
        <f>G2-0</f>
        <v>80000</v>
      </c>
      <c r="L2" s="15">
        <v>80000</v>
      </c>
      <c r="M2" s="30">
        <v>109.4</v>
      </c>
      <c r="N2" s="34">
        <v>194.64999399999999</v>
      </c>
      <c r="O2" s="39">
        <v>0.48899999999999999</v>
      </c>
      <c r="P2" s="39">
        <v>0.48899999999999999</v>
      </c>
      <c r="Q2" s="15">
        <f>K2/M2</f>
        <v>731.26142595978058</v>
      </c>
      <c r="R2" s="15">
        <f>K2/O2</f>
        <v>163599.18200408999</v>
      </c>
      <c r="S2" s="44">
        <f>K2/O2/43560</f>
        <v>3.7557204316825068</v>
      </c>
      <c r="T2" s="39">
        <v>109.4</v>
      </c>
      <c r="U2" s="5" t="s">
        <v>48</v>
      </c>
      <c r="V2" t="s">
        <v>155</v>
      </c>
      <c r="X2" t="s">
        <v>51</v>
      </c>
      <c r="Y2">
        <v>0</v>
      </c>
      <c r="Z2">
        <v>0</v>
      </c>
      <c r="AA2" t="s">
        <v>68</v>
      </c>
      <c r="AB2" t="s">
        <v>76</v>
      </c>
      <c r="AC2" s="7" t="s">
        <v>69</v>
      </c>
      <c r="AD2" t="s">
        <v>54</v>
      </c>
    </row>
    <row r="3" spans="1:64" ht="15.75" thickBot="1" x14ac:dyDescent="0.3">
      <c r="A3" t="s">
        <v>157</v>
      </c>
      <c r="B3" t="s">
        <v>158</v>
      </c>
      <c r="C3" s="25">
        <v>44411</v>
      </c>
      <c r="D3" s="15">
        <v>105000</v>
      </c>
      <c r="E3" t="s">
        <v>46</v>
      </c>
      <c r="F3" t="s">
        <v>57</v>
      </c>
      <c r="G3" s="15">
        <v>105000</v>
      </c>
      <c r="H3" s="15">
        <v>26300</v>
      </c>
      <c r="I3" s="20">
        <f>H3/G3*100</f>
        <v>25.047619047619047</v>
      </c>
      <c r="J3" s="15">
        <v>80000</v>
      </c>
      <c r="K3" s="15">
        <f>G3-0</f>
        <v>105000</v>
      </c>
      <c r="L3" s="15">
        <v>80000</v>
      </c>
      <c r="M3" s="30">
        <v>208.63</v>
      </c>
      <c r="N3" s="34">
        <v>150.16000399999999</v>
      </c>
      <c r="O3" s="39">
        <v>0.71899999999999997</v>
      </c>
      <c r="P3" s="39">
        <v>0.71899999999999997</v>
      </c>
      <c r="Q3" s="15">
        <f>K3/M3</f>
        <v>503.28332454584671</v>
      </c>
      <c r="R3" s="15">
        <f>K3/O3</f>
        <v>146036.16133518776</v>
      </c>
      <c r="S3" s="44">
        <f>K3/O3/43560</f>
        <v>3.3525289562715281</v>
      </c>
      <c r="T3" s="39">
        <v>208.63</v>
      </c>
      <c r="U3" s="5" t="s">
        <v>48</v>
      </c>
      <c r="V3" t="s">
        <v>159</v>
      </c>
      <c r="X3" t="s">
        <v>51</v>
      </c>
      <c r="Y3">
        <v>0</v>
      </c>
      <c r="Z3">
        <v>0</v>
      </c>
      <c r="AA3" t="s">
        <v>68</v>
      </c>
      <c r="AB3" t="s">
        <v>76</v>
      </c>
      <c r="AC3" s="7" t="s">
        <v>69</v>
      </c>
      <c r="AD3" t="s">
        <v>54</v>
      </c>
    </row>
    <row r="4" spans="1:64" ht="15.75" thickTop="1" x14ac:dyDescent="0.25">
      <c r="A4" s="8"/>
      <c r="B4" s="8"/>
      <c r="C4" s="26" t="s">
        <v>222</v>
      </c>
      <c r="D4" s="16">
        <f>+SUM(D2:D3)</f>
        <v>185000</v>
      </c>
      <c r="E4" s="8"/>
      <c r="F4" s="8"/>
      <c r="G4" s="16">
        <f>+SUM(G2:G3)</f>
        <v>185000</v>
      </c>
      <c r="H4" s="16">
        <f>+SUM(H2:H3)</f>
        <v>56300</v>
      </c>
      <c r="I4" s="21"/>
      <c r="J4" s="16">
        <f>+SUM(J2:J3)</f>
        <v>160000</v>
      </c>
      <c r="K4" s="16">
        <f>+SUM(K2:K3)</f>
        <v>185000</v>
      </c>
      <c r="L4" s="16">
        <f>+SUM(L2:L3)</f>
        <v>160000</v>
      </c>
      <c r="M4" s="31">
        <f>+SUM(M2:M3)</f>
        <v>318.02999999999997</v>
      </c>
      <c r="N4" s="35"/>
      <c r="O4" s="40">
        <f>+SUM(O2:O3)</f>
        <v>1.208</v>
      </c>
      <c r="P4" s="40">
        <f>+SUM(P2:P3)</f>
        <v>1.208</v>
      </c>
      <c r="Q4" s="16"/>
      <c r="R4" s="16"/>
      <c r="S4" s="45"/>
      <c r="T4" s="40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64" x14ac:dyDescent="0.25">
      <c r="A5" s="10"/>
      <c r="B5" s="10"/>
      <c r="C5" s="27"/>
      <c r="D5" s="17"/>
      <c r="E5" s="10"/>
      <c r="F5" s="10"/>
      <c r="G5" s="17"/>
      <c r="H5" s="17" t="s">
        <v>223</v>
      </c>
      <c r="I5" s="22">
        <f>H4/G4*100</f>
        <v>30.432432432432432</v>
      </c>
      <c r="J5" s="17"/>
      <c r="K5" s="17"/>
      <c r="L5" s="17" t="s">
        <v>224</v>
      </c>
      <c r="M5" s="32"/>
      <c r="N5" s="36"/>
      <c r="O5" s="41" t="s">
        <v>224</v>
      </c>
      <c r="P5" s="41"/>
      <c r="Q5" s="17"/>
      <c r="R5" s="17" t="s">
        <v>224</v>
      </c>
      <c r="S5" s="46"/>
      <c r="T5" s="41"/>
      <c r="U5" s="11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64" x14ac:dyDescent="0.25">
      <c r="A6" s="12"/>
      <c r="B6" s="12"/>
      <c r="C6" s="28"/>
      <c r="D6" s="18"/>
      <c r="E6" s="12"/>
      <c r="F6" s="12"/>
      <c r="G6" s="18"/>
      <c r="H6" s="18" t="s">
        <v>225</v>
      </c>
      <c r="I6" s="23">
        <f>STDEV(I2:I3)</f>
        <v>8.8051630133467658</v>
      </c>
      <c r="J6" s="18"/>
      <c r="K6" s="18"/>
      <c r="L6" s="18" t="s">
        <v>226</v>
      </c>
      <c r="M6" s="48">
        <f>K4/M4</f>
        <v>581.70612835267116</v>
      </c>
      <c r="N6" s="37"/>
      <c r="O6" s="42" t="s">
        <v>227</v>
      </c>
      <c r="P6" s="42">
        <f>K4/O4</f>
        <v>153145.6953642384</v>
      </c>
      <c r="Q6" s="18"/>
      <c r="R6" s="18" t="s">
        <v>228</v>
      </c>
      <c r="S6" s="47">
        <f>K4/O4/43560</f>
        <v>3.5157413995463362</v>
      </c>
      <c r="T6" s="42"/>
      <c r="U6" s="1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8" spans="1:64" x14ac:dyDescent="0.25">
      <c r="J8" s="52" t="s">
        <v>233</v>
      </c>
      <c r="K8" s="15">
        <f>AVERAGE(K2:K3)</f>
        <v>92500</v>
      </c>
    </row>
    <row r="9" spans="1:64" x14ac:dyDescent="0.25">
      <c r="I9" s="55"/>
      <c r="J9" s="54" t="s">
        <v>234</v>
      </c>
      <c r="K9" s="53">
        <v>92500</v>
      </c>
    </row>
  </sheetData>
  <conditionalFormatting sqref="A2:AR3">
    <cfRule type="expression" dxfId="5" priority="1" stopIfTrue="1">
      <formula>MOD(ROW(),4)&gt;1</formula>
    </cfRule>
    <cfRule type="expression" dxfId="4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307A1-AE4E-4A22-85BB-D0D7C109151B}">
  <dimension ref="A1:BN9"/>
  <sheetViews>
    <sheetView workbookViewId="0">
      <selection activeCell="J19" sqref="J19"/>
    </sheetView>
  </sheetViews>
  <sheetFormatPr defaultRowHeight="15" x14ac:dyDescent="0.25"/>
  <cols>
    <col min="1" max="1" width="14.28515625" bestFit="1" customWidth="1"/>
    <col min="2" max="2" width="19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16.7109375" bestFit="1" customWidth="1"/>
    <col min="7" max="7" width="10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3" width="13.28515625" style="15" customWidth="1"/>
    <col min="14" max="14" width="14.42578125" style="15" bestFit="1" customWidth="1"/>
    <col min="15" max="15" width="11.140625" style="30" bestFit="1" customWidth="1"/>
    <col min="16" max="16" width="6.42578125" style="34" bestFit="1" customWidth="1"/>
    <col min="17" max="17" width="14.28515625" style="39" bestFit="1" customWidth="1"/>
    <col min="18" max="18" width="10.85546875" style="39" bestFit="1" customWidth="1"/>
    <col min="19" max="19" width="10" style="15" bestFit="1" customWidth="1"/>
    <col min="20" max="20" width="12" style="15" bestFit="1" customWidth="1"/>
    <col min="21" max="21" width="11.85546875" style="44" bestFit="1" customWidth="1"/>
    <col min="22" max="22" width="11.7109375" style="39" bestFit="1" customWidth="1"/>
    <col min="23" max="23" width="8.7109375" style="4" bestFit="1" customWidth="1"/>
    <col min="24" max="24" width="10.5703125" bestFit="1" customWidth="1"/>
    <col min="25" max="25" width="19.42578125" bestFit="1" customWidth="1"/>
    <col min="26" max="26" width="23" bestFit="1" customWidth="1"/>
    <col min="27" max="27" width="6.85546875" bestFit="1" customWidth="1"/>
    <col min="28" max="28" width="6.42578125" bestFit="1" customWidth="1"/>
    <col min="29" max="29" width="15" bestFit="1" customWidth="1"/>
    <col min="30" max="30" width="9.42578125" bestFit="1" customWidth="1"/>
    <col min="31" max="31" width="5.42578125" bestFit="1" customWidth="1"/>
    <col min="32" max="32" width="13.42578125" bestFit="1" customWidth="1"/>
    <col min="33" max="34" width="12.42578125" bestFit="1" customWidth="1"/>
    <col min="35" max="35" width="18" bestFit="1" customWidth="1"/>
    <col min="36" max="36" width="6.85546875" bestFit="1" customWidth="1"/>
    <col min="37" max="37" width="13.140625" bestFit="1" customWidth="1"/>
    <col min="38" max="38" width="6.5703125" bestFit="1" customWidth="1"/>
    <col min="39" max="39" width="19.85546875" bestFit="1" customWidth="1"/>
    <col min="40" max="40" width="16.42578125" bestFit="1" customWidth="1"/>
    <col min="41" max="41" width="15.42578125" bestFit="1" customWidth="1"/>
    <col min="42" max="42" width="11" bestFit="1" customWidth="1"/>
    <col min="43" max="43" width="16.85546875" bestFit="1" customWidth="1"/>
    <col min="44" max="44" width="21.5703125" bestFit="1" customWidth="1"/>
    <col min="45" max="45" width="21" bestFit="1" customWidth="1"/>
    <col min="46" max="46" width="16.5703125" bestFit="1" customWidth="1"/>
  </cols>
  <sheetData>
    <row r="1" spans="1:66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229</v>
      </c>
      <c r="M1" s="14" t="s">
        <v>230</v>
      </c>
      <c r="N1" s="14" t="s">
        <v>11</v>
      </c>
      <c r="O1" s="29" t="s">
        <v>12</v>
      </c>
      <c r="P1" s="33" t="s">
        <v>13</v>
      </c>
      <c r="Q1" s="38" t="s">
        <v>14</v>
      </c>
      <c r="R1" s="38" t="s">
        <v>15</v>
      </c>
      <c r="S1" s="14" t="s">
        <v>16</v>
      </c>
      <c r="T1" s="14" t="s">
        <v>17</v>
      </c>
      <c r="U1" s="43" t="s">
        <v>18</v>
      </c>
      <c r="V1" s="38" t="s">
        <v>19</v>
      </c>
      <c r="W1" s="3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x14ac:dyDescent="0.25">
      <c r="A2" t="s">
        <v>188</v>
      </c>
      <c r="B2" t="s">
        <v>189</v>
      </c>
      <c r="C2" s="25">
        <v>44781</v>
      </c>
      <c r="D2" s="15">
        <v>42500</v>
      </c>
      <c r="E2" t="s">
        <v>46</v>
      </c>
      <c r="F2" t="s">
        <v>57</v>
      </c>
      <c r="G2" s="15">
        <v>42500</v>
      </c>
      <c r="H2" s="15">
        <v>13000</v>
      </c>
      <c r="I2" s="20">
        <f>H2/G2*100</f>
        <v>30.588235294117649</v>
      </c>
      <c r="J2" s="15">
        <v>43500</v>
      </c>
      <c r="K2" s="15">
        <f>G2-0</f>
        <v>42500</v>
      </c>
      <c r="L2" s="49">
        <v>1</v>
      </c>
      <c r="M2" s="49">
        <f t="shared" ref="M2:M4" si="0">K2/L2</f>
        <v>42500</v>
      </c>
      <c r="N2" s="15">
        <v>43500</v>
      </c>
      <c r="O2" s="30">
        <v>101</v>
      </c>
      <c r="P2" s="34">
        <v>200</v>
      </c>
      <c r="Q2" s="39">
        <v>0</v>
      </c>
      <c r="R2" s="39">
        <v>0</v>
      </c>
      <c r="S2" s="15">
        <f>K2/O2</f>
        <v>420.79207920792078</v>
      </c>
      <c r="T2" s="15" t="e">
        <f>K2/Q2</f>
        <v>#DIV/0!</v>
      </c>
      <c r="U2" s="44" t="e">
        <f>K2/Q2/43560</f>
        <v>#DIV/0!</v>
      </c>
      <c r="V2" s="39">
        <v>101</v>
      </c>
      <c r="W2" s="5" t="s">
        <v>48</v>
      </c>
      <c r="X2" t="s">
        <v>190</v>
      </c>
      <c r="Z2" t="s">
        <v>51</v>
      </c>
      <c r="AA2">
        <v>0</v>
      </c>
      <c r="AB2">
        <v>1</v>
      </c>
      <c r="AC2" s="6">
        <v>44938</v>
      </c>
      <c r="AD2" t="s">
        <v>76</v>
      </c>
      <c r="AE2" s="7" t="s">
        <v>69</v>
      </c>
      <c r="AF2" t="s">
        <v>54</v>
      </c>
    </row>
    <row r="3" spans="1:66" x14ac:dyDescent="0.25">
      <c r="A3" t="s">
        <v>195</v>
      </c>
      <c r="B3" t="s">
        <v>192</v>
      </c>
      <c r="C3" s="25">
        <v>44329</v>
      </c>
      <c r="D3" s="15">
        <v>86000</v>
      </c>
      <c r="E3" t="s">
        <v>46</v>
      </c>
      <c r="F3" t="s">
        <v>57</v>
      </c>
      <c r="G3" s="15">
        <v>86000</v>
      </c>
      <c r="H3" s="15">
        <v>0</v>
      </c>
      <c r="I3" s="20">
        <f>H3/G3*100</f>
        <v>0</v>
      </c>
      <c r="J3" s="15">
        <v>418373</v>
      </c>
      <c r="K3" s="15">
        <f>G3-0</f>
        <v>86000</v>
      </c>
      <c r="L3" s="49">
        <v>2</v>
      </c>
      <c r="M3" s="49">
        <f t="shared" si="0"/>
        <v>43000</v>
      </c>
      <c r="N3" s="15">
        <v>87000</v>
      </c>
      <c r="O3" s="30">
        <v>0</v>
      </c>
      <c r="P3" s="34">
        <v>0</v>
      </c>
      <c r="Q3" s="39">
        <v>0.38400000000000001</v>
      </c>
      <c r="R3" s="39">
        <v>0.38400000000000001</v>
      </c>
      <c r="S3" s="15" t="e">
        <f>K3/O3</f>
        <v>#DIV/0!</v>
      </c>
      <c r="T3" s="15">
        <f>K3/Q3</f>
        <v>223958.33333333334</v>
      </c>
      <c r="U3" s="44">
        <f>K3/Q3/43560</f>
        <v>5.1413758800122435</v>
      </c>
      <c r="V3" s="39">
        <v>0</v>
      </c>
      <c r="W3" s="5" t="s">
        <v>48</v>
      </c>
      <c r="X3" t="s">
        <v>193</v>
      </c>
      <c r="Y3" t="s">
        <v>194</v>
      </c>
      <c r="Z3" t="s">
        <v>51</v>
      </c>
      <c r="AA3">
        <v>0</v>
      </c>
      <c r="AB3">
        <v>0</v>
      </c>
      <c r="AC3" t="s">
        <v>68</v>
      </c>
      <c r="AE3" s="7" t="s">
        <v>60</v>
      </c>
    </row>
    <row r="4" spans="1:66" ht="15.75" thickBot="1" x14ac:dyDescent="0.3">
      <c r="A4" t="s">
        <v>197</v>
      </c>
      <c r="B4" t="s">
        <v>198</v>
      </c>
      <c r="C4" s="25">
        <v>44712</v>
      </c>
      <c r="D4" s="15">
        <v>55000</v>
      </c>
      <c r="E4" t="s">
        <v>46</v>
      </c>
      <c r="F4" t="s">
        <v>57</v>
      </c>
      <c r="G4" s="15">
        <v>55000</v>
      </c>
      <c r="H4" s="15">
        <v>13000</v>
      </c>
      <c r="I4" s="20">
        <f>H4/G4*100</f>
        <v>23.636363636363637</v>
      </c>
      <c r="J4" s="15">
        <v>43500</v>
      </c>
      <c r="K4" s="15">
        <f>G4-0</f>
        <v>55000</v>
      </c>
      <c r="L4" s="49">
        <v>1</v>
      </c>
      <c r="M4" s="49">
        <f t="shared" si="0"/>
        <v>55000</v>
      </c>
      <c r="N4" s="15">
        <v>43500</v>
      </c>
      <c r="O4" s="30">
        <v>110</v>
      </c>
      <c r="P4" s="34">
        <v>196</v>
      </c>
      <c r="Q4" s="39">
        <v>0</v>
      </c>
      <c r="R4" s="39">
        <v>0</v>
      </c>
      <c r="S4" s="15">
        <f>K4/O4</f>
        <v>500</v>
      </c>
      <c r="T4" s="15" t="e">
        <f>K4/Q4</f>
        <v>#DIV/0!</v>
      </c>
      <c r="U4" s="44" t="e">
        <f>K4/Q4/43560</f>
        <v>#DIV/0!</v>
      </c>
      <c r="V4" s="39">
        <v>110</v>
      </c>
      <c r="W4" s="5" t="s">
        <v>48</v>
      </c>
      <c r="X4" t="s">
        <v>199</v>
      </c>
      <c r="Z4" t="s">
        <v>51</v>
      </c>
      <c r="AA4">
        <v>1</v>
      </c>
      <c r="AB4">
        <v>1</v>
      </c>
      <c r="AC4" t="s">
        <v>68</v>
      </c>
      <c r="AD4" t="s">
        <v>76</v>
      </c>
      <c r="AE4" s="7" t="s">
        <v>69</v>
      </c>
      <c r="AF4" t="s">
        <v>54</v>
      </c>
    </row>
    <row r="5" spans="1:66" ht="15.75" thickTop="1" x14ac:dyDescent="0.25">
      <c r="A5" s="8"/>
      <c r="B5" s="8"/>
      <c r="C5" s="26" t="s">
        <v>222</v>
      </c>
      <c r="D5" s="16">
        <f>+SUM(D2:D4)</f>
        <v>183500</v>
      </c>
      <c r="E5" s="8"/>
      <c r="F5" s="8"/>
      <c r="G5" s="16">
        <f>+SUM(G2:G4)</f>
        <v>183500</v>
      </c>
      <c r="H5" s="16">
        <f>+SUM(H2:H4)</f>
        <v>26000</v>
      </c>
      <c r="I5" s="21"/>
      <c r="J5" s="16">
        <f>+SUM(J2:J4)</f>
        <v>505373</v>
      </c>
      <c r="K5" s="16">
        <f>+SUM(K2:K4)</f>
        <v>183500</v>
      </c>
      <c r="L5" s="16"/>
      <c r="M5" s="16"/>
      <c r="N5" s="16">
        <f>+SUM(N2:N4)</f>
        <v>174000</v>
      </c>
      <c r="O5" s="31">
        <f>+SUM(O2:O4)</f>
        <v>211</v>
      </c>
      <c r="P5" s="35"/>
      <c r="Q5" s="40">
        <f>+SUM(Q2:Q4)</f>
        <v>0.38400000000000001</v>
      </c>
      <c r="R5" s="40">
        <f>+SUM(R2:R4)</f>
        <v>0.38400000000000001</v>
      </c>
      <c r="S5" s="16"/>
      <c r="T5" s="16"/>
      <c r="U5" s="45"/>
      <c r="V5" s="40"/>
      <c r="W5" s="9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66" x14ac:dyDescent="0.25">
      <c r="A6" s="10"/>
      <c r="B6" s="10"/>
      <c r="C6" s="27"/>
      <c r="D6" s="17"/>
      <c r="E6" s="10"/>
      <c r="F6" s="10"/>
      <c r="G6" s="17"/>
      <c r="H6" s="17" t="s">
        <v>223</v>
      </c>
      <c r="I6" s="22">
        <f>H5/G5*100</f>
        <v>14.168937329700274</v>
      </c>
      <c r="J6" s="17"/>
      <c r="K6" s="17"/>
      <c r="L6" s="50" t="s">
        <v>231</v>
      </c>
      <c r="M6" s="51">
        <f>AVERAGE(M2:M5)</f>
        <v>46833.333333333336</v>
      </c>
      <c r="N6" s="17" t="s">
        <v>224</v>
      </c>
      <c r="O6" s="32"/>
      <c r="P6" s="36"/>
      <c r="Q6" s="41" t="s">
        <v>224</v>
      </c>
      <c r="R6" s="41"/>
      <c r="S6" s="17"/>
      <c r="T6" s="17" t="s">
        <v>224</v>
      </c>
      <c r="U6" s="46"/>
      <c r="V6" s="41"/>
      <c r="W6" s="11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66" x14ac:dyDescent="0.25">
      <c r="A7" s="12"/>
      <c r="B7" s="12"/>
      <c r="C7" s="28"/>
      <c r="D7" s="18"/>
      <c r="E7" s="12"/>
      <c r="F7" s="12"/>
      <c r="G7" s="18"/>
      <c r="H7" s="18" t="s">
        <v>225</v>
      </c>
      <c r="I7" s="23">
        <f>STDEV(I2:I4)</f>
        <v>16.034579008633191</v>
      </c>
      <c r="J7" s="18"/>
      <c r="K7" s="18"/>
      <c r="L7" s="18"/>
      <c r="M7" s="18"/>
      <c r="N7" s="18" t="s">
        <v>226</v>
      </c>
      <c r="O7" s="48">
        <f>K5/O5</f>
        <v>869.66824644549763</v>
      </c>
      <c r="P7" s="37"/>
      <c r="Q7" s="42" t="s">
        <v>227</v>
      </c>
      <c r="R7" s="42">
        <f>K5/Q5</f>
        <v>477864.58333333331</v>
      </c>
      <c r="S7" s="18"/>
      <c r="T7" s="18" t="s">
        <v>228</v>
      </c>
      <c r="U7" s="47">
        <f>K5/Q5/43560</f>
        <v>10.970261325374961</v>
      </c>
      <c r="V7" s="42"/>
      <c r="W7" s="13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9" spans="1:66" x14ac:dyDescent="0.25">
      <c r="K9" s="53"/>
      <c r="L9" s="54" t="s">
        <v>232</v>
      </c>
      <c r="M9" s="53">
        <v>46800</v>
      </c>
    </row>
  </sheetData>
  <conditionalFormatting sqref="A2:AT4">
    <cfRule type="expression" dxfId="3" priority="1" stopIfTrue="1">
      <formula>MOD(ROW(),4)&gt;1</formula>
    </cfRule>
    <cfRule type="expression" dxfId="2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55848-4A2B-4A03-8356-E50137F46B3E}">
  <dimension ref="A1:BN9"/>
  <sheetViews>
    <sheetView workbookViewId="0">
      <selection sqref="A1:XFD1048576"/>
    </sheetView>
  </sheetViews>
  <sheetFormatPr defaultRowHeight="15" x14ac:dyDescent="0.25"/>
  <cols>
    <col min="1" max="1" width="14.28515625" bestFit="1" customWidth="1"/>
    <col min="2" max="2" width="19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16.7109375" bestFit="1" customWidth="1"/>
    <col min="7" max="7" width="10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3" width="13.28515625" style="15" customWidth="1"/>
    <col min="14" max="14" width="14.42578125" style="15" bestFit="1" customWidth="1"/>
    <col min="15" max="15" width="11.140625" style="30" bestFit="1" customWidth="1"/>
    <col min="16" max="16" width="6.42578125" style="34" bestFit="1" customWidth="1"/>
    <col min="17" max="17" width="14.28515625" style="39" bestFit="1" customWidth="1"/>
    <col min="18" max="18" width="10.85546875" style="39" bestFit="1" customWidth="1"/>
    <col min="19" max="19" width="10" style="15" bestFit="1" customWidth="1"/>
    <col min="20" max="20" width="12" style="15" bestFit="1" customWidth="1"/>
    <col min="21" max="21" width="11.85546875" style="44" bestFit="1" customWidth="1"/>
    <col min="22" max="22" width="11.7109375" style="39" bestFit="1" customWidth="1"/>
    <col min="23" max="23" width="8.7109375" style="4" bestFit="1" customWidth="1"/>
    <col min="24" max="24" width="10.5703125" bestFit="1" customWidth="1"/>
    <col min="25" max="25" width="19.42578125" bestFit="1" customWidth="1"/>
    <col min="26" max="26" width="23" bestFit="1" customWidth="1"/>
    <col min="27" max="27" width="6.85546875" bestFit="1" customWidth="1"/>
    <col min="28" max="28" width="6.42578125" bestFit="1" customWidth="1"/>
    <col min="29" max="29" width="15" bestFit="1" customWidth="1"/>
    <col min="30" max="30" width="9.42578125" bestFit="1" customWidth="1"/>
    <col min="31" max="31" width="5.42578125" bestFit="1" customWidth="1"/>
    <col min="32" max="32" width="13.42578125" bestFit="1" customWidth="1"/>
    <col min="33" max="34" width="12.42578125" bestFit="1" customWidth="1"/>
    <col min="35" max="35" width="18" bestFit="1" customWidth="1"/>
    <col min="36" max="36" width="6.85546875" bestFit="1" customWidth="1"/>
    <col min="37" max="37" width="13.140625" bestFit="1" customWidth="1"/>
    <col min="38" max="38" width="6.5703125" bestFit="1" customWidth="1"/>
    <col min="39" max="39" width="19.85546875" bestFit="1" customWidth="1"/>
    <col min="40" max="40" width="16.42578125" bestFit="1" customWidth="1"/>
    <col min="41" max="41" width="15.42578125" bestFit="1" customWidth="1"/>
    <col min="42" max="42" width="11" bestFit="1" customWidth="1"/>
    <col min="43" max="43" width="16.85546875" bestFit="1" customWidth="1"/>
    <col min="44" max="44" width="21.5703125" bestFit="1" customWidth="1"/>
    <col min="45" max="45" width="21" bestFit="1" customWidth="1"/>
    <col min="46" max="46" width="16.5703125" bestFit="1" customWidth="1"/>
  </cols>
  <sheetData>
    <row r="1" spans="1:66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229</v>
      </c>
      <c r="M1" s="14" t="s">
        <v>230</v>
      </c>
      <c r="N1" s="14" t="s">
        <v>11</v>
      </c>
      <c r="O1" s="29" t="s">
        <v>12</v>
      </c>
      <c r="P1" s="33" t="s">
        <v>13</v>
      </c>
      <c r="Q1" s="38" t="s">
        <v>14</v>
      </c>
      <c r="R1" s="38" t="s">
        <v>15</v>
      </c>
      <c r="S1" s="14" t="s">
        <v>16</v>
      </c>
      <c r="T1" s="14" t="s">
        <v>17</v>
      </c>
      <c r="U1" s="43" t="s">
        <v>18</v>
      </c>
      <c r="V1" s="38" t="s">
        <v>19</v>
      </c>
      <c r="W1" s="3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x14ac:dyDescent="0.25">
      <c r="A2" t="s">
        <v>188</v>
      </c>
      <c r="B2" t="s">
        <v>189</v>
      </c>
      <c r="C2" s="25">
        <v>44781</v>
      </c>
      <c r="D2" s="15">
        <v>42500</v>
      </c>
      <c r="E2" t="s">
        <v>46</v>
      </c>
      <c r="F2" t="s">
        <v>57</v>
      </c>
      <c r="G2" s="15">
        <v>42500</v>
      </c>
      <c r="H2" s="15">
        <v>13000</v>
      </c>
      <c r="I2" s="20">
        <f>H2/G2*100</f>
        <v>30.588235294117649</v>
      </c>
      <c r="J2" s="15">
        <v>43500</v>
      </c>
      <c r="K2" s="15">
        <f>G2-0</f>
        <v>42500</v>
      </c>
      <c r="L2" s="49">
        <v>1</v>
      </c>
      <c r="M2" s="49">
        <f t="shared" ref="M2:M4" si="0">K2/L2</f>
        <v>42500</v>
      </c>
      <c r="N2" s="15">
        <v>43500</v>
      </c>
      <c r="O2" s="30">
        <v>101</v>
      </c>
      <c r="P2" s="34">
        <v>200</v>
      </c>
      <c r="Q2" s="39">
        <v>0</v>
      </c>
      <c r="R2" s="39">
        <v>0</v>
      </c>
      <c r="S2" s="15">
        <f>K2/O2</f>
        <v>420.79207920792078</v>
      </c>
      <c r="T2" s="15" t="e">
        <f>K2/Q2</f>
        <v>#DIV/0!</v>
      </c>
      <c r="U2" s="44" t="e">
        <f>K2/Q2/43560</f>
        <v>#DIV/0!</v>
      </c>
      <c r="V2" s="39">
        <v>101</v>
      </c>
      <c r="W2" s="5" t="s">
        <v>48</v>
      </c>
      <c r="X2" t="s">
        <v>190</v>
      </c>
      <c r="Z2" t="s">
        <v>51</v>
      </c>
      <c r="AA2">
        <v>0</v>
      </c>
      <c r="AB2">
        <v>1</v>
      </c>
      <c r="AC2" s="6">
        <v>44938</v>
      </c>
      <c r="AD2" t="s">
        <v>76</v>
      </c>
      <c r="AE2" s="7" t="s">
        <v>69</v>
      </c>
      <c r="AF2" t="s">
        <v>54</v>
      </c>
    </row>
    <row r="3" spans="1:66" x14ac:dyDescent="0.25">
      <c r="A3" t="s">
        <v>195</v>
      </c>
      <c r="B3" t="s">
        <v>192</v>
      </c>
      <c r="C3" s="25">
        <v>44329</v>
      </c>
      <c r="D3" s="15">
        <v>86000</v>
      </c>
      <c r="E3" t="s">
        <v>46</v>
      </c>
      <c r="F3" t="s">
        <v>57</v>
      </c>
      <c r="G3" s="15">
        <v>86000</v>
      </c>
      <c r="H3" s="15">
        <v>0</v>
      </c>
      <c r="I3" s="20">
        <f>H3/G3*100</f>
        <v>0</v>
      </c>
      <c r="J3" s="15">
        <v>418373</v>
      </c>
      <c r="K3" s="15">
        <f>G3-0</f>
        <v>86000</v>
      </c>
      <c r="L3" s="49">
        <v>2</v>
      </c>
      <c r="M3" s="49">
        <f t="shared" si="0"/>
        <v>43000</v>
      </c>
      <c r="N3" s="15">
        <v>87000</v>
      </c>
      <c r="O3" s="30">
        <v>0</v>
      </c>
      <c r="P3" s="34">
        <v>0</v>
      </c>
      <c r="Q3" s="39">
        <v>0.38400000000000001</v>
      </c>
      <c r="R3" s="39">
        <v>0.38400000000000001</v>
      </c>
      <c r="S3" s="15" t="e">
        <f>K3/O3</f>
        <v>#DIV/0!</v>
      </c>
      <c r="T3" s="15">
        <f>K3/Q3</f>
        <v>223958.33333333334</v>
      </c>
      <c r="U3" s="44">
        <f>K3/Q3/43560</f>
        <v>5.1413758800122435</v>
      </c>
      <c r="V3" s="39">
        <v>0</v>
      </c>
      <c r="W3" s="5" t="s">
        <v>48</v>
      </c>
      <c r="X3" t="s">
        <v>193</v>
      </c>
      <c r="Y3" t="s">
        <v>194</v>
      </c>
      <c r="Z3" t="s">
        <v>51</v>
      </c>
      <c r="AA3">
        <v>0</v>
      </c>
      <c r="AB3">
        <v>0</v>
      </c>
      <c r="AC3" t="s">
        <v>68</v>
      </c>
      <c r="AE3" s="7" t="s">
        <v>60</v>
      </c>
    </row>
    <row r="4" spans="1:66" ht="15.75" thickBot="1" x14ac:dyDescent="0.3">
      <c r="A4" t="s">
        <v>197</v>
      </c>
      <c r="B4" t="s">
        <v>198</v>
      </c>
      <c r="C4" s="25">
        <v>44712</v>
      </c>
      <c r="D4" s="15">
        <v>55000</v>
      </c>
      <c r="E4" t="s">
        <v>46</v>
      </c>
      <c r="F4" t="s">
        <v>57</v>
      </c>
      <c r="G4" s="15">
        <v>55000</v>
      </c>
      <c r="H4" s="15">
        <v>13000</v>
      </c>
      <c r="I4" s="20">
        <f>H4/G4*100</f>
        <v>23.636363636363637</v>
      </c>
      <c r="J4" s="15">
        <v>43500</v>
      </c>
      <c r="K4" s="15">
        <f>G4-0</f>
        <v>55000</v>
      </c>
      <c r="L4" s="49">
        <v>1</v>
      </c>
      <c r="M4" s="49">
        <f t="shared" si="0"/>
        <v>55000</v>
      </c>
      <c r="N4" s="15">
        <v>43500</v>
      </c>
      <c r="O4" s="30">
        <v>110</v>
      </c>
      <c r="P4" s="34">
        <v>196</v>
      </c>
      <c r="Q4" s="39">
        <v>0</v>
      </c>
      <c r="R4" s="39">
        <v>0</v>
      </c>
      <c r="S4" s="15">
        <f>K4/O4</f>
        <v>500</v>
      </c>
      <c r="T4" s="15" t="e">
        <f>K4/Q4</f>
        <v>#DIV/0!</v>
      </c>
      <c r="U4" s="44" t="e">
        <f>K4/Q4/43560</f>
        <v>#DIV/0!</v>
      </c>
      <c r="V4" s="39">
        <v>110</v>
      </c>
      <c r="W4" s="5" t="s">
        <v>48</v>
      </c>
      <c r="X4" t="s">
        <v>199</v>
      </c>
      <c r="Z4" t="s">
        <v>51</v>
      </c>
      <c r="AA4">
        <v>1</v>
      </c>
      <c r="AB4">
        <v>1</v>
      </c>
      <c r="AC4" t="s">
        <v>68</v>
      </c>
      <c r="AD4" t="s">
        <v>76</v>
      </c>
      <c r="AE4" s="7" t="s">
        <v>69</v>
      </c>
      <c r="AF4" t="s">
        <v>54</v>
      </c>
    </row>
    <row r="5" spans="1:66" ht="15.75" thickTop="1" x14ac:dyDescent="0.25">
      <c r="A5" s="8"/>
      <c r="B5" s="8"/>
      <c r="C5" s="26" t="s">
        <v>222</v>
      </c>
      <c r="D5" s="16">
        <f>+SUM(D2:D4)</f>
        <v>183500</v>
      </c>
      <c r="E5" s="8"/>
      <c r="F5" s="8"/>
      <c r="G5" s="16">
        <f>+SUM(G2:G4)</f>
        <v>183500</v>
      </c>
      <c r="H5" s="16">
        <f>+SUM(H2:H4)</f>
        <v>26000</v>
      </c>
      <c r="I5" s="21"/>
      <c r="J5" s="16">
        <f>+SUM(J2:J4)</f>
        <v>505373</v>
      </c>
      <c r="K5" s="16">
        <f>+SUM(K2:K4)</f>
        <v>183500</v>
      </c>
      <c r="L5" s="16"/>
      <c r="M5" s="16"/>
      <c r="N5" s="16">
        <f>+SUM(N2:N4)</f>
        <v>174000</v>
      </c>
      <c r="O5" s="31">
        <f>+SUM(O2:O4)</f>
        <v>211</v>
      </c>
      <c r="P5" s="35"/>
      <c r="Q5" s="40">
        <f>+SUM(Q2:Q4)</f>
        <v>0.38400000000000001</v>
      </c>
      <c r="R5" s="40">
        <f>+SUM(R2:R4)</f>
        <v>0.38400000000000001</v>
      </c>
      <c r="S5" s="16"/>
      <c r="T5" s="16"/>
      <c r="U5" s="45"/>
      <c r="V5" s="40"/>
      <c r="W5" s="9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66" x14ac:dyDescent="0.25">
      <c r="A6" s="10"/>
      <c r="B6" s="10"/>
      <c r="C6" s="27"/>
      <c r="D6" s="17"/>
      <c r="E6" s="10"/>
      <c r="F6" s="10"/>
      <c r="G6" s="17"/>
      <c r="H6" s="17" t="s">
        <v>223</v>
      </c>
      <c r="I6" s="22">
        <f>H5/G5*100</f>
        <v>14.168937329700274</v>
      </c>
      <c r="J6" s="17"/>
      <c r="K6" s="17"/>
      <c r="L6" s="50" t="s">
        <v>231</v>
      </c>
      <c r="M6" s="51">
        <f>AVERAGE(M2:M5)</f>
        <v>46833.333333333336</v>
      </c>
      <c r="N6" s="17" t="s">
        <v>224</v>
      </c>
      <c r="O6" s="32"/>
      <c r="P6" s="36"/>
      <c r="Q6" s="41" t="s">
        <v>224</v>
      </c>
      <c r="R6" s="41"/>
      <c r="S6" s="17"/>
      <c r="T6" s="17" t="s">
        <v>224</v>
      </c>
      <c r="U6" s="46"/>
      <c r="V6" s="41"/>
      <c r="W6" s="11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66" x14ac:dyDescent="0.25">
      <c r="A7" s="12"/>
      <c r="B7" s="12"/>
      <c r="C7" s="28"/>
      <c r="D7" s="18"/>
      <c r="E7" s="12"/>
      <c r="F7" s="12"/>
      <c r="G7" s="18"/>
      <c r="H7" s="18" t="s">
        <v>225</v>
      </c>
      <c r="I7" s="23">
        <f>STDEV(I2:I4)</f>
        <v>16.034579008633191</v>
      </c>
      <c r="J7" s="18"/>
      <c r="K7" s="18"/>
      <c r="L7" s="18"/>
      <c r="M7" s="18"/>
      <c r="N7" s="18" t="s">
        <v>226</v>
      </c>
      <c r="O7" s="48">
        <f>K5/O5</f>
        <v>869.66824644549763</v>
      </c>
      <c r="P7" s="37"/>
      <c r="Q7" s="42" t="s">
        <v>227</v>
      </c>
      <c r="R7" s="42">
        <f>K5/Q5</f>
        <v>477864.58333333331</v>
      </c>
      <c r="S7" s="18"/>
      <c r="T7" s="18" t="s">
        <v>228</v>
      </c>
      <c r="U7" s="47">
        <f>K5/Q5/43560</f>
        <v>10.970261325374961</v>
      </c>
      <c r="V7" s="42"/>
      <c r="W7" s="13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9" spans="1:66" x14ac:dyDescent="0.25">
      <c r="K9" s="53"/>
      <c r="L9" s="54" t="s">
        <v>232</v>
      </c>
      <c r="M9" s="53">
        <v>46800</v>
      </c>
    </row>
  </sheetData>
  <conditionalFormatting sqref="A2:AT4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5813A-F340-413C-9956-4C75A6C96521}">
  <dimension ref="A1:AX10"/>
  <sheetViews>
    <sheetView workbookViewId="0">
      <selection activeCell="G24" sqref="G24"/>
    </sheetView>
  </sheetViews>
  <sheetFormatPr defaultRowHeight="15" x14ac:dyDescent="0.25"/>
  <cols>
    <col min="1" max="1" width="14.28515625" bestFit="1" customWidth="1"/>
    <col min="2" max="2" width="27.425781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23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3.42578125" bestFit="1" customWidth="1"/>
    <col min="29" max="29" width="5.42578125" bestFit="1" customWidth="1"/>
    <col min="30" max="30" width="16.710937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160</v>
      </c>
      <c r="B2" t="s">
        <v>161</v>
      </c>
      <c r="C2" s="25">
        <v>44333</v>
      </c>
      <c r="D2" s="15">
        <v>335000</v>
      </c>
      <c r="E2" t="s">
        <v>46</v>
      </c>
      <c r="F2" t="s">
        <v>57</v>
      </c>
      <c r="G2" s="15">
        <v>335000</v>
      </c>
      <c r="H2" s="15">
        <v>163700</v>
      </c>
      <c r="I2" s="20">
        <f>H2/G2*100</f>
        <v>48.865671641791046</v>
      </c>
      <c r="J2" s="15">
        <v>328892</v>
      </c>
      <c r="K2" s="15">
        <f>G2-14198-274694</f>
        <v>46108</v>
      </c>
      <c r="L2" s="15">
        <v>40000</v>
      </c>
      <c r="M2" s="30">
        <v>100</v>
      </c>
      <c r="N2" s="34">
        <v>200</v>
      </c>
      <c r="O2" s="39">
        <v>0.45900000000000002</v>
      </c>
      <c r="P2" s="39">
        <v>0.45900000000000002</v>
      </c>
      <c r="Q2" s="15">
        <f>K2/M2</f>
        <v>461.08</v>
      </c>
      <c r="R2" s="15">
        <f>K2/O2</f>
        <v>100453.15904139433</v>
      </c>
      <c r="S2" s="44">
        <f>K2/O2/43560</f>
        <v>2.3060872139897688</v>
      </c>
      <c r="T2" s="39">
        <v>100</v>
      </c>
      <c r="U2" s="5" t="s">
        <v>48</v>
      </c>
      <c r="V2" t="s">
        <v>162</v>
      </c>
      <c r="X2" t="s">
        <v>51</v>
      </c>
      <c r="Y2">
        <v>0</v>
      </c>
      <c r="Z2">
        <v>0</v>
      </c>
      <c r="AA2" s="6">
        <v>45085</v>
      </c>
      <c r="AB2" t="s">
        <v>59</v>
      </c>
      <c r="AC2" s="7" t="s">
        <v>60</v>
      </c>
      <c r="AD2" t="s">
        <v>61</v>
      </c>
    </row>
    <row r="3" spans="1:50" x14ac:dyDescent="0.25">
      <c r="A3" t="s">
        <v>167</v>
      </c>
      <c r="B3" t="s">
        <v>168</v>
      </c>
      <c r="C3" s="25">
        <v>44482</v>
      </c>
      <c r="D3" s="15">
        <v>320000</v>
      </c>
      <c r="E3" t="s">
        <v>46</v>
      </c>
      <c r="F3" t="s">
        <v>47</v>
      </c>
      <c r="G3" s="15">
        <v>320000</v>
      </c>
      <c r="H3" s="15">
        <v>109100</v>
      </c>
      <c r="I3" s="20">
        <f>H3/G3*100</f>
        <v>34.09375</v>
      </c>
      <c r="J3" s="15">
        <v>271012</v>
      </c>
      <c r="K3" s="15">
        <f>G3-222608</f>
        <v>97392</v>
      </c>
      <c r="L3" s="15">
        <v>44500</v>
      </c>
      <c r="M3" s="30">
        <v>200</v>
      </c>
      <c r="N3" s="34">
        <v>350</v>
      </c>
      <c r="O3" s="39">
        <v>0.80300000000000005</v>
      </c>
      <c r="P3" s="39">
        <v>0.45900000000000002</v>
      </c>
      <c r="Q3" s="15">
        <f>K3/M3</f>
        <v>486.96</v>
      </c>
      <c r="R3" s="15">
        <f>K3/O3</f>
        <v>121285.18057285179</v>
      </c>
      <c r="S3" s="44">
        <f>K3/O3/43560</f>
        <v>2.7843246228845682</v>
      </c>
      <c r="T3" s="39">
        <v>200</v>
      </c>
      <c r="U3" s="5" t="s">
        <v>48</v>
      </c>
      <c r="V3" t="s">
        <v>169</v>
      </c>
      <c r="W3" t="s">
        <v>170</v>
      </c>
      <c r="X3" t="s">
        <v>51</v>
      </c>
      <c r="Y3">
        <v>0</v>
      </c>
      <c r="Z3">
        <v>0</v>
      </c>
      <c r="AA3" s="6">
        <v>45085</v>
      </c>
      <c r="AB3" t="s">
        <v>59</v>
      </c>
      <c r="AC3" s="7" t="s">
        <v>60</v>
      </c>
      <c r="AD3" t="s">
        <v>61</v>
      </c>
    </row>
    <row r="4" spans="1:50" x14ac:dyDescent="0.25">
      <c r="A4" t="s">
        <v>203</v>
      </c>
      <c r="B4" t="s">
        <v>204</v>
      </c>
      <c r="C4" s="25">
        <v>44461</v>
      </c>
      <c r="D4" s="15">
        <v>415000</v>
      </c>
      <c r="E4" t="s">
        <v>46</v>
      </c>
      <c r="F4" t="s">
        <v>57</v>
      </c>
      <c r="G4" s="15">
        <v>415000</v>
      </c>
      <c r="H4" s="15">
        <v>175100</v>
      </c>
      <c r="I4" s="20">
        <f>H4/G4*100</f>
        <v>42.192771084337352</v>
      </c>
      <c r="J4" s="15">
        <v>434358</v>
      </c>
      <c r="K4" s="15">
        <f>G4-389842</f>
        <v>25158</v>
      </c>
      <c r="L4" s="15">
        <v>44516</v>
      </c>
      <c r="M4" s="30">
        <v>111.29</v>
      </c>
      <c r="N4" s="34">
        <v>207</v>
      </c>
      <c r="O4" s="39">
        <v>0.52900000000000003</v>
      </c>
      <c r="P4" s="39">
        <v>0.52900000000000003</v>
      </c>
      <c r="Q4" s="15">
        <f>K4/M4</f>
        <v>226.05804654506244</v>
      </c>
      <c r="R4" s="15">
        <f>K4/O4</f>
        <v>47557.65595463138</v>
      </c>
      <c r="S4" s="44">
        <f>K4/O4/43560</f>
        <v>1.0917735526774881</v>
      </c>
      <c r="T4" s="39">
        <v>111.29</v>
      </c>
      <c r="U4" s="5" t="s">
        <v>48</v>
      </c>
      <c r="V4" t="s">
        <v>205</v>
      </c>
      <c r="X4" t="s">
        <v>51</v>
      </c>
      <c r="Y4">
        <v>0</v>
      </c>
      <c r="Z4">
        <v>0</v>
      </c>
      <c r="AA4" s="6">
        <v>45114</v>
      </c>
      <c r="AB4" t="s">
        <v>59</v>
      </c>
      <c r="AC4" s="7" t="s">
        <v>60</v>
      </c>
      <c r="AD4" t="s">
        <v>61</v>
      </c>
    </row>
    <row r="5" spans="1:50" ht="15.75" thickBot="1" x14ac:dyDescent="0.3">
      <c r="A5" t="s">
        <v>203</v>
      </c>
      <c r="B5" t="s">
        <v>204</v>
      </c>
      <c r="C5" s="25">
        <v>44893</v>
      </c>
      <c r="D5" s="15">
        <v>435000</v>
      </c>
      <c r="E5" t="s">
        <v>46</v>
      </c>
      <c r="F5" t="s">
        <v>57</v>
      </c>
      <c r="G5" s="15">
        <v>435000</v>
      </c>
      <c r="H5" s="15">
        <v>185900</v>
      </c>
      <c r="I5" s="20">
        <f>H5/G5*100</f>
        <v>42.735632183908045</v>
      </c>
      <c r="J5" s="15">
        <v>434358</v>
      </c>
      <c r="K5" s="15">
        <f>G5-389842</f>
        <v>45158</v>
      </c>
      <c r="L5" s="15">
        <v>44516</v>
      </c>
      <c r="M5" s="30">
        <v>111.29</v>
      </c>
      <c r="N5" s="34">
        <v>207</v>
      </c>
      <c r="O5" s="39">
        <v>0.52900000000000003</v>
      </c>
      <c r="P5" s="39">
        <v>0.52900000000000003</v>
      </c>
      <c r="Q5" s="15">
        <f>K5/M5</f>
        <v>405.76871237307932</v>
      </c>
      <c r="R5" s="15">
        <f>K5/O5</f>
        <v>85364.839319470702</v>
      </c>
      <c r="S5" s="44">
        <f>K5/O5/43560</f>
        <v>1.9597070550842677</v>
      </c>
      <c r="T5" s="39">
        <v>111.29</v>
      </c>
      <c r="U5" s="5" t="s">
        <v>48</v>
      </c>
      <c r="V5" t="s">
        <v>206</v>
      </c>
      <c r="X5" t="s">
        <v>51</v>
      </c>
      <c r="Y5">
        <v>0</v>
      </c>
      <c r="Z5">
        <v>0</v>
      </c>
      <c r="AA5" s="6">
        <v>45114</v>
      </c>
      <c r="AB5" t="s">
        <v>59</v>
      </c>
      <c r="AC5" s="7" t="s">
        <v>60</v>
      </c>
      <c r="AD5" t="s">
        <v>61</v>
      </c>
    </row>
    <row r="6" spans="1:50" ht="15.75" thickTop="1" x14ac:dyDescent="0.25">
      <c r="A6" s="8"/>
      <c r="B6" s="8"/>
      <c r="C6" s="26" t="s">
        <v>222</v>
      </c>
      <c r="D6" s="16">
        <f>+SUM(D2:D5)</f>
        <v>1505000</v>
      </c>
      <c r="E6" s="8"/>
      <c r="F6" s="8"/>
      <c r="G6" s="16">
        <f>+SUM(G2:G5)</f>
        <v>1505000</v>
      </c>
      <c r="H6" s="16">
        <f>+SUM(H2:H5)</f>
        <v>633800</v>
      </c>
      <c r="I6" s="21"/>
      <c r="J6" s="16">
        <f>+SUM(J2:J5)</f>
        <v>1468620</v>
      </c>
      <c r="K6" s="16">
        <f>+SUM(K2:K5)</f>
        <v>213816</v>
      </c>
      <c r="L6" s="16">
        <f>+SUM(L2:L5)</f>
        <v>173532</v>
      </c>
      <c r="M6" s="31">
        <f>+SUM(M2:M5)</f>
        <v>522.58000000000004</v>
      </c>
      <c r="N6" s="35"/>
      <c r="O6" s="40">
        <f>+SUM(O2:O5)</f>
        <v>2.3199999999999998</v>
      </c>
      <c r="P6" s="40">
        <f>+SUM(P2:P5)</f>
        <v>1.976</v>
      </c>
      <c r="Q6" s="16"/>
      <c r="R6" s="16"/>
      <c r="S6" s="45"/>
      <c r="T6" s="40"/>
      <c r="U6" s="9"/>
      <c r="V6" s="8"/>
      <c r="W6" s="8"/>
      <c r="X6" s="8"/>
      <c r="Y6" s="8"/>
      <c r="Z6" s="8"/>
      <c r="AA6" s="8"/>
      <c r="AB6" s="8"/>
      <c r="AC6" s="8"/>
      <c r="AD6" s="8"/>
    </row>
    <row r="7" spans="1:50" x14ac:dyDescent="0.25">
      <c r="A7" s="10"/>
      <c r="B7" s="10"/>
      <c r="C7" s="27"/>
      <c r="D7" s="17"/>
      <c r="E7" s="10"/>
      <c r="F7" s="10"/>
      <c r="G7" s="17"/>
      <c r="H7" s="17" t="s">
        <v>223</v>
      </c>
      <c r="I7" s="22">
        <f>H6/G6*100</f>
        <v>42.112956810631232</v>
      </c>
      <c r="J7" s="17"/>
      <c r="K7" s="17"/>
      <c r="L7" s="17" t="s">
        <v>224</v>
      </c>
      <c r="M7" s="32"/>
      <c r="N7" s="36"/>
      <c r="O7" s="41" t="s">
        <v>224</v>
      </c>
      <c r="P7" s="41"/>
      <c r="Q7" s="17"/>
      <c r="R7" s="17" t="s">
        <v>224</v>
      </c>
      <c r="S7" s="46"/>
      <c r="T7" s="41"/>
      <c r="U7" s="11"/>
      <c r="V7" s="10"/>
      <c r="W7" s="10"/>
      <c r="X7" s="10"/>
      <c r="Y7" s="10"/>
      <c r="Z7" s="10"/>
      <c r="AA7" s="10"/>
      <c r="AB7" s="10"/>
      <c r="AC7" s="10"/>
      <c r="AD7" s="10"/>
    </row>
    <row r="8" spans="1:50" x14ac:dyDescent="0.25">
      <c r="A8" s="12"/>
      <c r="B8" s="12"/>
      <c r="C8" s="28"/>
      <c r="D8" s="18"/>
      <c r="E8" s="12"/>
      <c r="F8" s="12"/>
      <c r="G8" s="18"/>
      <c r="H8" s="18" t="s">
        <v>225</v>
      </c>
      <c r="I8" s="23">
        <f>STDEV(I2:I5)</f>
        <v>6.0613916373401002</v>
      </c>
      <c r="J8" s="18"/>
      <c r="K8" s="18"/>
      <c r="L8" s="18" t="s">
        <v>226</v>
      </c>
      <c r="M8" s="48">
        <f>K6/M6</f>
        <v>409.15457920318414</v>
      </c>
      <c r="N8" s="37"/>
      <c r="O8" s="42" t="s">
        <v>227</v>
      </c>
      <c r="P8" s="42">
        <f>K6/O6</f>
        <v>92162.068965517246</v>
      </c>
      <c r="Q8" s="18"/>
      <c r="R8" s="18" t="s">
        <v>228</v>
      </c>
      <c r="S8" s="47">
        <f>K6/O6/43560</f>
        <v>2.1157499762515437</v>
      </c>
      <c r="T8" s="42"/>
      <c r="U8" s="13"/>
      <c r="V8" s="12"/>
      <c r="W8" s="12"/>
      <c r="X8" s="12"/>
      <c r="Y8" s="12"/>
      <c r="Z8" s="12"/>
      <c r="AA8" s="12"/>
      <c r="AB8" s="12"/>
      <c r="AC8" s="12"/>
      <c r="AD8" s="12"/>
    </row>
    <row r="10" spans="1:50" x14ac:dyDescent="0.25">
      <c r="K10" s="53"/>
      <c r="L10" s="54" t="s">
        <v>236</v>
      </c>
      <c r="M10" s="56">
        <v>410</v>
      </c>
    </row>
  </sheetData>
  <conditionalFormatting sqref="A2:AD5">
    <cfRule type="expression" dxfId="29" priority="1" stopIfTrue="1">
      <formula>MOD(ROW(),4)&gt;1</formula>
    </cfRule>
    <cfRule type="expression" dxfId="28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29203-B89F-424F-BADD-F483F1C69F99}">
  <dimension ref="A1:AX8"/>
  <sheetViews>
    <sheetView workbookViewId="0">
      <selection activeCell="M8" sqref="K8:M8"/>
    </sheetView>
  </sheetViews>
  <sheetFormatPr defaultRowHeight="15" x14ac:dyDescent="0.25"/>
  <cols>
    <col min="1" max="1" width="14.28515625" bestFit="1" customWidth="1"/>
    <col min="2" max="2" width="27.425781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23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3.42578125" bestFit="1" customWidth="1"/>
    <col min="29" max="29" width="5.42578125" bestFit="1" customWidth="1"/>
    <col min="30" max="30" width="16.710937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95</v>
      </c>
      <c r="B2" t="s">
        <v>96</v>
      </c>
      <c r="C2" s="25">
        <v>44494</v>
      </c>
      <c r="D2" s="15">
        <v>260000</v>
      </c>
      <c r="E2" t="s">
        <v>46</v>
      </c>
      <c r="F2" t="s">
        <v>47</v>
      </c>
      <c r="G2" s="15">
        <v>260000</v>
      </c>
      <c r="H2" s="15">
        <v>120200</v>
      </c>
      <c r="I2" s="20">
        <f>H2/G2*100</f>
        <v>46.230769230769234</v>
      </c>
      <c r="J2" s="15">
        <v>299067</v>
      </c>
      <c r="K2" s="15">
        <f>G2-174479</f>
        <v>85521</v>
      </c>
      <c r="L2" s="15">
        <v>96980</v>
      </c>
      <c r="M2" s="30">
        <v>340.28</v>
      </c>
      <c r="N2" s="34">
        <v>318.85000600000001</v>
      </c>
      <c r="O2" s="39">
        <v>2.4790000000000001</v>
      </c>
      <c r="P2" s="39">
        <v>1.7589999999999999</v>
      </c>
      <c r="Q2" s="15">
        <f>K2/M2</f>
        <v>251.32537909956508</v>
      </c>
      <c r="R2" s="15">
        <f>K2/O2</f>
        <v>34498.184751916095</v>
      </c>
      <c r="S2" s="44">
        <f>K2/O2/43560</f>
        <v>0.79196934692185705</v>
      </c>
      <c r="T2" s="39">
        <v>340.28</v>
      </c>
      <c r="U2" s="5" t="s">
        <v>48</v>
      </c>
      <c r="V2" t="s">
        <v>97</v>
      </c>
      <c r="W2" t="s">
        <v>98</v>
      </c>
      <c r="X2" t="s">
        <v>51</v>
      </c>
      <c r="Y2">
        <v>0</v>
      </c>
      <c r="Z2">
        <v>1</v>
      </c>
      <c r="AA2" s="6">
        <v>45143</v>
      </c>
      <c r="AB2" t="s">
        <v>59</v>
      </c>
      <c r="AC2" s="7" t="s">
        <v>60</v>
      </c>
      <c r="AD2" t="s">
        <v>94</v>
      </c>
    </row>
    <row r="3" spans="1:50" ht="15.75" thickBot="1" x14ac:dyDescent="0.3">
      <c r="A3" t="s">
        <v>133</v>
      </c>
      <c r="B3" t="s">
        <v>134</v>
      </c>
      <c r="C3" s="25">
        <v>44524</v>
      </c>
      <c r="D3" s="15">
        <v>685000</v>
      </c>
      <c r="E3" t="s">
        <v>46</v>
      </c>
      <c r="F3" t="s">
        <v>57</v>
      </c>
      <c r="G3" s="15">
        <v>685000</v>
      </c>
      <c r="H3" s="15">
        <v>276900</v>
      </c>
      <c r="I3" s="20">
        <f>H3/G3*100</f>
        <v>40.423357664233578</v>
      </c>
      <c r="J3" s="15">
        <v>701997</v>
      </c>
      <c r="K3" s="15">
        <f>G3-634770</f>
        <v>50230</v>
      </c>
      <c r="L3" s="15">
        <v>67227</v>
      </c>
      <c r="M3" s="30">
        <v>120</v>
      </c>
      <c r="N3" s="34">
        <v>0</v>
      </c>
      <c r="O3" s="39">
        <v>0.65</v>
      </c>
      <c r="P3" s="39">
        <v>0.65</v>
      </c>
      <c r="Q3" s="15">
        <f>K3/M3</f>
        <v>418.58333333333331</v>
      </c>
      <c r="R3" s="15">
        <f>K3/O3</f>
        <v>77276.923076923078</v>
      </c>
      <c r="S3" s="44">
        <f>K3/O3/43560</f>
        <v>1.7740340467613196</v>
      </c>
      <c r="T3" s="39">
        <v>120</v>
      </c>
      <c r="U3" s="5" t="s">
        <v>48</v>
      </c>
      <c r="V3" t="s">
        <v>135</v>
      </c>
      <c r="X3" t="s">
        <v>51</v>
      </c>
      <c r="Y3">
        <v>0</v>
      </c>
      <c r="Z3">
        <v>0</v>
      </c>
      <c r="AA3" s="6">
        <v>45137</v>
      </c>
      <c r="AB3" t="s">
        <v>59</v>
      </c>
      <c r="AC3" s="7" t="s">
        <v>60</v>
      </c>
      <c r="AD3" t="s">
        <v>94</v>
      </c>
    </row>
    <row r="4" spans="1:50" ht="15.75" thickTop="1" x14ac:dyDescent="0.25">
      <c r="A4" s="8"/>
      <c r="B4" s="8"/>
      <c r="C4" s="26" t="s">
        <v>222</v>
      </c>
      <c r="D4" s="16">
        <f>+SUM(D2:D3)</f>
        <v>945000</v>
      </c>
      <c r="E4" s="8"/>
      <c r="F4" s="8"/>
      <c r="G4" s="16">
        <f>+SUM(G2:G3)</f>
        <v>945000</v>
      </c>
      <c r="H4" s="16">
        <f>+SUM(H2:H3)</f>
        <v>397100</v>
      </c>
      <c r="I4" s="21"/>
      <c r="J4" s="16">
        <f>+SUM(J2:J3)</f>
        <v>1001064</v>
      </c>
      <c r="K4" s="16">
        <f>+SUM(K2:K3)</f>
        <v>135751</v>
      </c>
      <c r="L4" s="16">
        <f>+SUM(L2:L3)</f>
        <v>164207</v>
      </c>
      <c r="M4" s="31">
        <f>+SUM(M2:M3)</f>
        <v>460.28</v>
      </c>
      <c r="N4" s="35"/>
      <c r="O4" s="40">
        <f>+SUM(O2:O3)</f>
        <v>3.129</v>
      </c>
      <c r="P4" s="40">
        <f>+SUM(P2:P3)</f>
        <v>2.4089999999999998</v>
      </c>
      <c r="Q4" s="16"/>
      <c r="R4" s="16"/>
      <c r="S4" s="45"/>
      <c r="T4" s="40"/>
      <c r="U4" s="9"/>
      <c r="V4" s="8"/>
      <c r="W4" s="8"/>
      <c r="X4" s="8"/>
      <c r="Y4" s="8"/>
      <c r="Z4" s="8"/>
      <c r="AA4" s="8"/>
      <c r="AB4" s="8"/>
      <c r="AC4" s="8"/>
      <c r="AD4" s="8"/>
    </row>
    <row r="5" spans="1:50" x14ac:dyDescent="0.25">
      <c r="A5" s="10"/>
      <c r="B5" s="10"/>
      <c r="C5" s="27"/>
      <c r="D5" s="17"/>
      <c r="E5" s="10"/>
      <c r="F5" s="10"/>
      <c r="G5" s="17"/>
      <c r="H5" s="17" t="s">
        <v>223</v>
      </c>
      <c r="I5" s="22">
        <f>H4/G4*100</f>
        <v>42.021164021164019</v>
      </c>
      <c r="J5" s="17"/>
      <c r="K5" s="17"/>
      <c r="L5" s="17" t="s">
        <v>224</v>
      </c>
      <c r="M5" s="32"/>
      <c r="N5" s="36"/>
      <c r="O5" s="41" t="s">
        <v>224</v>
      </c>
      <c r="P5" s="41"/>
      <c r="Q5" s="17"/>
      <c r="R5" s="17" t="s">
        <v>224</v>
      </c>
      <c r="S5" s="46"/>
      <c r="T5" s="41"/>
      <c r="U5" s="11"/>
      <c r="V5" s="10"/>
      <c r="W5" s="10"/>
      <c r="X5" s="10"/>
      <c r="Y5" s="10"/>
      <c r="Z5" s="10"/>
      <c r="AA5" s="10"/>
      <c r="AB5" s="10"/>
      <c r="AC5" s="10"/>
      <c r="AD5" s="10"/>
    </row>
    <row r="6" spans="1:50" x14ac:dyDescent="0.25">
      <c r="A6" s="12"/>
      <c r="B6" s="12"/>
      <c r="C6" s="28"/>
      <c r="D6" s="18"/>
      <c r="E6" s="12"/>
      <c r="F6" s="12"/>
      <c r="G6" s="18"/>
      <c r="H6" s="18" t="s">
        <v>225</v>
      </c>
      <c r="I6" s="23">
        <f>STDEV(I2:I3)</f>
        <v>4.1064600998385528</v>
      </c>
      <c r="J6" s="18"/>
      <c r="K6" s="18"/>
      <c r="L6" s="18" t="s">
        <v>226</v>
      </c>
      <c r="M6" s="48">
        <f>K4/M4</f>
        <v>294.93134613713391</v>
      </c>
      <c r="N6" s="37"/>
      <c r="O6" s="42" t="s">
        <v>227</v>
      </c>
      <c r="P6" s="42">
        <f>K4/O4</f>
        <v>43384.787472035794</v>
      </c>
      <c r="Q6" s="18"/>
      <c r="R6" s="18" t="s">
        <v>228</v>
      </c>
      <c r="S6" s="47">
        <f>K4/O4/43560</f>
        <v>0.99597767383002278</v>
      </c>
      <c r="T6" s="42"/>
      <c r="U6" s="13"/>
      <c r="V6" s="12"/>
      <c r="W6" s="12"/>
      <c r="X6" s="12"/>
      <c r="Y6" s="12"/>
      <c r="Z6" s="12"/>
      <c r="AA6" s="12"/>
      <c r="AB6" s="12"/>
      <c r="AC6" s="12"/>
      <c r="AD6" s="12"/>
    </row>
    <row r="8" spans="1:50" x14ac:dyDescent="0.25">
      <c r="K8" s="53"/>
      <c r="L8" s="54" t="s">
        <v>236</v>
      </c>
      <c r="M8" s="56">
        <v>295</v>
      </c>
    </row>
  </sheetData>
  <conditionalFormatting sqref="A2:AD3">
    <cfRule type="expression" dxfId="27" priority="1" stopIfTrue="1">
      <formula>MOD(ROW(),4)&gt;1</formula>
    </cfRule>
    <cfRule type="expression" dxfId="26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D79C7-560A-47A9-B2C2-5570C3D5CAC0}">
  <dimension ref="A1:AX9"/>
  <sheetViews>
    <sheetView workbookViewId="0">
      <selection activeCell="M9" sqref="K9:M9"/>
    </sheetView>
  </sheetViews>
  <sheetFormatPr defaultRowHeight="15" x14ac:dyDescent="0.25"/>
  <cols>
    <col min="1" max="1" width="14.28515625" bestFit="1" customWidth="1"/>
    <col min="2" max="2" width="27.425781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23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3.42578125" bestFit="1" customWidth="1"/>
    <col min="29" max="29" width="5.42578125" bestFit="1" customWidth="1"/>
    <col min="30" max="30" width="16.710937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121</v>
      </c>
      <c r="B2" t="s">
        <v>122</v>
      </c>
      <c r="C2" s="25">
        <v>44553</v>
      </c>
      <c r="D2" s="15">
        <v>90000</v>
      </c>
      <c r="E2" t="s">
        <v>46</v>
      </c>
      <c r="F2" t="s">
        <v>47</v>
      </c>
      <c r="G2" s="15">
        <v>90000</v>
      </c>
      <c r="H2" s="15">
        <v>52800</v>
      </c>
      <c r="I2" s="20">
        <f>H2/G2*100</f>
        <v>58.666666666666664</v>
      </c>
      <c r="J2" s="15">
        <v>162500</v>
      </c>
      <c r="K2" s="15">
        <f>G2-0</f>
        <v>90000</v>
      </c>
      <c r="L2" s="15">
        <v>135000</v>
      </c>
      <c r="M2" s="30">
        <v>435</v>
      </c>
      <c r="N2" s="34">
        <v>0</v>
      </c>
      <c r="O2" s="39">
        <v>3.82</v>
      </c>
      <c r="P2" s="39">
        <v>3.29</v>
      </c>
      <c r="Q2" s="15">
        <f>K2/M2</f>
        <v>206.89655172413794</v>
      </c>
      <c r="R2" s="15">
        <f>K2/O2</f>
        <v>23560.209424083772</v>
      </c>
      <c r="S2" s="44">
        <f>K2/O2/43560</f>
        <v>0.54086798494223531</v>
      </c>
      <c r="T2" s="39">
        <v>435</v>
      </c>
      <c r="U2" s="5" t="s">
        <v>48</v>
      </c>
      <c r="V2" t="s">
        <v>123</v>
      </c>
      <c r="W2" t="s">
        <v>124</v>
      </c>
      <c r="X2" t="s">
        <v>51</v>
      </c>
      <c r="Y2">
        <v>0</v>
      </c>
      <c r="Z2">
        <v>0</v>
      </c>
      <c r="AA2" t="s">
        <v>68</v>
      </c>
      <c r="AB2" t="s">
        <v>76</v>
      </c>
      <c r="AC2" s="7" t="s">
        <v>69</v>
      </c>
      <c r="AD2" t="s">
        <v>54</v>
      </c>
    </row>
    <row r="3" spans="1:50" x14ac:dyDescent="0.25">
      <c r="A3" t="s">
        <v>203</v>
      </c>
      <c r="B3" t="s">
        <v>204</v>
      </c>
      <c r="C3" s="25">
        <v>44461</v>
      </c>
      <c r="D3" s="15">
        <v>415000</v>
      </c>
      <c r="E3" t="s">
        <v>46</v>
      </c>
      <c r="F3" t="s">
        <v>57</v>
      </c>
      <c r="G3" s="15">
        <v>415000</v>
      </c>
      <c r="H3" s="15">
        <v>175100</v>
      </c>
      <c r="I3" s="20">
        <f>H3/G3*100</f>
        <v>42.192771084337352</v>
      </c>
      <c r="J3" s="15">
        <v>434358</v>
      </c>
      <c r="K3" s="15">
        <f>G3-389842</f>
        <v>25158</v>
      </c>
      <c r="L3" s="15">
        <v>44516</v>
      </c>
      <c r="M3" s="30">
        <v>111.29</v>
      </c>
      <c r="N3" s="34">
        <v>207</v>
      </c>
      <c r="O3" s="39">
        <v>0.52900000000000003</v>
      </c>
      <c r="P3" s="39">
        <v>0.52900000000000003</v>
      </c>
      <c r="Q3" s="15">
        <f>K3/M3</f>
        <v>226.05804654506244</v>
      </c>
      <c r="R3" s="15">
        <f>K3/O3</f>
        <v>47557.65595463138</v>
      </c>
      <c r="S3" s="44">
        <f>K3/O3/43560</f>
        <v>1.0917735526774881</v>
      </c>
      <c r="T3" s="39">
        <v>111.29</v>
      </c>
      <c r="U3" s="5" t="s">
        <v>48</v>
      </c>
      <c r="V3" t="s">
        <v>205</v>
      </c>
      <c r="X3" t="s">
        <v>51</v>
      </c>
      <c r="Y3">
        <v>0</v>
      </c>
      <c r="Z3">
        <v>0</v>
      </c>
      <c r="AA3" s="6">
        <v>45114</v>
      </c>
      <c r="AB3" t="s">
        <v>59</v>
      </c>
      <c r="AC3" s="7" t="s">
        <v>60</v>
      </c>
      <c r="AD3" t="s">
        <v>61</v>
      </c>
    </row>
    <row r="4" spans="1:50" ht="15.75" thickBot="1" x14ac:dyDescent="0.3">
      <c r="A4" t="s">
        <v>95</v>
      </c>
      <c r="B4" t="s">
        <v>96</v>
      </c>
      <c r="C4" s="25">
        <v>44494</v>
      </c>
      <c r="D4" s="15">
        <v>260000</v>
      </c>
      <c r="E4" t="s">
        <v>46</v>
      </c>
      <c r="F4" t="s">
        <v>47</v>
      </c>
      <c r="G4" s="15">
        <v>260000</v>
      </c>
      <c r="H4" s="15">
        <v>120200</v>
      </c>
      <c r="I4" s="20">
        <f>H4/G4*100</f>
        <v>46.230769230769234</v>
      </c>
      <c r="J4" s="15">
        <v>299067</v>
      </c>
      <c r="K4" s="15">
        <f>G4-174479</f>
        <v>85521</v>
      </c>
      <c r="L4" s="15">
        <v>96980</v>
      </c>
      <c r="M4" s="30">
        <v>340.28</v>
      </c>
      <c r="N4" s="34">
        <v>318.85000600000001</v>
      </c>
      <c r="O4" s="39">
        <v>2.4790000000000001</v>
      </c>
      <c r="P4" s="39">
        <v>1.7589999999999999</v>
      </c>
      <c r="Q4" s="15">
        <f>K4/M4</f>
        <v>251.32537909956508</v>
      </c>
      <c r="R4" s="15">
        <f>K4/O4</f>
        <v>34498.184751916095</v>
      </c>
      <c r="S4" s="44">
        <f>K4/O4/43560</f>
        <v>0.79196934692185705</v>
      </c>
      <c r="T4" s="39">
        <v>340.28</v>
      </c>
      <c r="U4" s="5" t="s">
        <v>48</v>
      </c>
      <c r="V4" t="s">
        <v>97</v>
      </c>
      <c r="W4" t="s">
        <v>98</v>
      </c>
      <c r="X4" t="s">
        <v>51</v>
      </c>
      <c r="Y4">
        <v>0</v>
      </c>
      <c r="Z4">
        <v>1</v>
      </c>
      <c r="AA4" s="6">
        <v>45143</v>
      </c>
      <c r="AB4" t="s">
        <v>59</v>
      </c>
      <c r="AC4" s="7" t="s">
        <v>60</v>
      </c>
      <c r="AD4" t="s">
        <v>94</v>
      </c>
    </row>
    <row r="5" spans="1:50" ht="15.75" thickTop="1" x14ac:dyDescent="0.25">
      <c r="A5" s="8"/>
      <c r="B5" s="8"/>
      <c r="C5" s="26" t="s">
        <v>222</v>
      </c>
      <c r="D5" s="16">
        <f>+SUM(D2:D4)</f>
        <v>765000</v>
      </c>
      <c r="E5" s="8"/>
      <c r="F5" s="8"/>
      <c r="G5" s="16">
        <f>+SUM(G2:G4)</f>
        <v>765000</v>
      </c>
      <c r="H5" s="16">
        <f>+SUM(H2:H4)</f>
        <v>348100</v>
      </c>
      <c r="I5" s="21"/>
      <c r="J5" s="16">
        <f>+SUM(J2:J4)</f>
        <v>895925</v>
      </c>
      <c r="K5" s="16">
        <f>+SUM(K2:K4)</f>
        <v>200679</v>
      </c>
      <c r="L5" s="16">
        <f>+SUM(L2:L4)</f>
        <v>276496</v>
      </c>
      <c r="M5" s="31">
        <f>+SUM(M2:M4)</f>
        <v>886.56999999999994</v>
      </c>
      <c r="N5" s="35"/>
      <c r="O5" s="40">
        <f>+SUM(O2:O4)</f>
        <v>6.8280000000000003</v>
      </c>
      <c r="P5" s="40">
        <f>+SUM(P2:P4)</f>
        <v>5.5779999999999994</v>
      </c>
      <c r="Q5" s="16"/>
      <c r="R5" s="16"/>
      <c r="S5" s="45"/>
      <c r="T5" s="40"/>
      <c r="U5" s="9"/>
      <c r="V5" s="8"/>
      <c r="W5" s="8"/>
      <c r="X5" s="8"/>
      <c r="Y5" s="8"/>
      <c r="Z5" s="8"/>
      <c r="AA5" s="8"/>
      <c r="AB5" s="8"/>
      <c r="AC5" s="8"/>
      <c r="AD5" s="8"/>
    </row>
    <row r="6" spans="1:50" x14ac:dyDescent="0.25">
      <c r="A6" s="10"/>
      <c r="B6" s="10"/>
      <c r="C6" s="27"/>
      <c r="D6" s="17"/>
      <c r="E6" s="10"/>
      <c r="F6" s="10"/>
      <c r="G6" s="17"/>
      <c r="H6" s="17" t="s">
        <v>223</v>
      </c>
      <c r="I6" s="22">
        <f>H5/G5*100</f>
        <v>45.503267973856211</v>
      </c>
      <c r="J6" s="17"/>
      <c r="K6" s="17"/>
      <c r="L6" s="17" t="s">
        <v>224</v>
      </c>
      <c r="M6" s="32"/>
      <c r="N6" s="36"/>
      <c r="O6" s="41" t="s">
        <v>224</v>
      </c>
      <c r="P6" s="41"/>
      <c r="Q6" s="17"/>
      <c r="R6" s="17" t="s">
        <v>224</v>
      </c>
      <c r="S6" s="46"/>
      <c r="T6" s="41"/>
      <c r="U6" s="11"/>
      <c r="V6" s="10"/>
      <c r="W6" s="10"/>
      <c r="X6" s="10"/>
      <c r="Y6" s="10"/>
      <c r="Z6" s="10"/>
      <c r="AA6" s="10"/>
      <c r="AB6" s="10"/>
      <c r="AC6" s="10"/>
      <c r="AD6" s="10"/>
    </row>
    <row r="7" spans="1:50" x14ac:dyDescent="0.25">
      <c r="A7" s="12"/>
      <c r="B7" s="12"/>
      <c r="C7" s="28"/>
      <c r="D7" s="18"/>
      <c r="E7" s="12"/>
      <c r="F7" s="12"/>
      <c r="G7" s="18"/>
      <c r="H7" s="18" t="s">
        <v>225</v>
      </c>
      <c r="I7" s="23">
        <f>STDEV(I2:I4)</f>
        <v>8.5862895529660328</v>
      </c>
      <c r="J7" s="18"/>
      <c r="K7" s="18"/>
      <c r="L7" s="18" t="s">
        <v>226</v>
      </c>
      <c r="M7" s="48">
        <f>K5/M5</f>
        <v>226.35437698094907</v>
      </c>
      <c r="N7" s="37"/>
      <c r="O7" s="42" t="s">
        <v>227</v>
      </c>
      <c r="P7" s="42">
        <f>K5/O5</f>
        <v>29390.597539543058</v>
      </c>
      <c r="Q7" s="18"/>
      <c r="R7" s="18" t="s">
        <v>228</v>
      </c>
      <c r="S7" s="47">
        <f>K5/O5/43560</f>
        <v>0.67471527868556147</v>
      </c>
      <c r="T7" s="42"/>
      <c r="U7" s="13"/>
      <c r="V7" s="12"/>
      <c r="W7" s="12"/>
      <c r="X7" s="12"/>
      <c r="Y7" s="12"/>
      <c r="Z7" s="12"/>
      <c r="AA7" s="12"/>
      <c r="AB7" s="12"/>
      <c r="AC7" s="12"/>
      <c r="AD7" s="12"/>
    </row>
    <row r="9" spans="1:50" x14ac:dyDescent="0.25">
      <c r="K9" s="53"/>
      <c r="L9" s="54" t="s">
        <v>236</v>
      </c>
      <c r="M9" s="56">
        <v>225</v>
      </c>
    </row>
  </sheetData>
  <sortState xmlns:xlrd2="http://schemas.microsoft.com/office/spreadsheetml/2017/richdata2" ref="A2:AD4">
    <sortCondition ref="Q2:Q4"/>
  </sortState>
  <conditionalFormatting sqref="A2:AD4">
    <cfRule type="expression" dxfId="25" priority="1" stopIfTrue="1">
      <formula>MOD(ROW(),4)&gt;1</formula>
    </cfRule>
    <cfRule type="expression" dxfId="24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46681-CCCB-4AA1-BD35-E6D969346A0B}">
  <dimension ref="A1:AX14"/>
  <sheetViews>
    <sheetView workbookViewId="0">
      <selection activeCell="L22" sqref="L22"/>
    </sheetView>
  </sheetViews>
  <sheetFormatPr defaultRowHeight="15" x14ac:dyDescent="0.25"/>
  <cols>
    <col min="1" max="1" width="14.28515625" bestFit="1" customWidth="1"/>
    <col min="2" max="2" width="27.425781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23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3.42578125" bestFit="1" customWidth="1"/>
    <col min="29" max="29" width="5.42578125" bestFit="1" customWidth="1"/>
    <col min="30" max="30" width="16.710937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175</v>
      </c>
      <c r="B2" t="s">
        <v>176</v>
      </c>
      <c r="C2" s="25">
        <v>44839</v>
      </c>
      <c r="D2" s="15">
        <v>450000</v>
      </c>
      <c r="E2" t="s">
        <v>46</v>
      </c>
      <c r="F2" t="s">
        <v>57</v>
      </c>
      <c r="G2" s="15">
        <v>450000</v>
      </c>
      <c r="H2" s="15">
        <v>213900</v>
      </c>
      <c r="I2" s="20">
        <f>H2/G2*100</f>
        <v>47.533333333333331</v>
      </c>
      <c r="J2" s="15">
        <v>499224</v>
      </c>
      <c r="K2" s="15">
        <f>G2-441724</f>
        <v>8276</v>
      </c>
      <c r="L2" s="15">
        <v>57500</v>
      </c>
      <c r="M2" s="30">
        <v>115</v>
      </c>
      <c r="N2" s="34">
        <v>200</v>
      </c>
      <c r="O2" s="39">
        <v>0.52800000000000002</v>
      </c>
      <c r="P2" s="39">
        <v>0.52800000000000002</v>
      </c>
      <c r="Q2" s="15">
        <f>K2/M2</f>
        <v>71.96521739130435</v>
      </c>
      <c r="R2" s="15">
        <f>K2/O2</f>
        <v>15674.242424242424</v>
      </c>
      <c r="S2" s="44">
        <f>K2/O2/43560</f>
        <v>0.35983109330216767</v>
      </c>
      <c r="T2" s="39">
        <v>115</v>
      </c>
      <c r="U2" s="5" t="s">
        <v>48</v>
      </c>
      <c r="V2" t="s">
        <v>177</v>
      </c>
      <c r="X2" t="s">
        <v>51</v>
      </c>
      <c r="Y2">
        <v>0</v>
      </c>
      <c r="Z2">
        <v>1</v>
      </c>
      <c r="AA2" s="6">
        <v>45123</v>
      </c>
      <c r="AB2" t="s">
        <v>59</v>
      </c>
      <c r="AC2" s="7" t="s">
        <v>60</v>
      </c>
      <c r="AD2" t="s">
        <v>54</v>
      </c>
      <c r="AO2" s="2"/>
      <c r="AQ2" s="2"/>
    </row>
    <row r="3" spans="1:50" x14ac:dyDescent="0.25">
      <c r="A3" t="s">
        <v>181</v>
      </c>
      <c r="B3" t="s">
        <v>182</v>
      </c>
      <c r="C3" s="25">
        <v>44693</v>
      </c>
      <c r="D3" s="15">
        <v>29900</v>
      </c>
      <c r="E3" t="s">
        <v>46</v>
      </c>
      <c r="F3" t="s">
        <v>57</v>
      </c>
      <c r="G3" s="15">
        <v>29900</v>
      </c>
      <c r="H3" s="15">
        <v>13000</v>
      </c>
      <c r="I3" s="20">
        <f>H3/G3*100</f>
        <v>43.478260869565219</v>
      </c>
      <c r="J3" s="15">
        <v>69063</v>
      </c>
      <c r="K3" s="15">
        <f>G3-25563</f>
        <v>4337</v>
      </c>
      <c r="L3" s="15">
        <v>43500</v>
      </c>
      <c r="M3" s="30">
        <v>50</v>
      </c>
      <c r="N3" s="34">
        <v>217</v>
      </c>
      <c r="O3" s="39">
        <v>0</v>
      </c>
      <c r="P3" s="39">
        <v>0</v>
      </c>
      <c r="Q3" s="15">
        <f>K3/M3</f>
        <v>86.74</v>
      </c>
      <c r="R3" s="15" t="e">
        <f>K3/O3</f>
        <v>#DIV/0!</v>
      </c>
      <c r="S3" s="44" t="e">
        <f>K3/O3/43560</f>
        <v>#DIV/0!</v>
      </c>
      <c r="T3" s="39">
        <v>50</v>
      </c>
      <c r="U3" s="5" t="s">
        <v>48</v>
      </c>
      <c r="V3" t="s">
        <v>183</v>
      </c>
      <c r="X3" t="s">
        <v>51</v>
      </c>
      <c r="Y3">
        <v>0</v>
      </c>
      <c r="Z3">
        <v>1</v>
      </c>
      <c r="AA3" s="6">
        <v>44938</v>
      </c>
      <c r="AB3" t="s">
        <v>76</v>
      </c>
      <c r="AC3" s="7" t="s">
        <v>60</v>
      </c>
      <c r="AD3" t="s">
        <v>54</v>
      </c>
    </row>
    <row r="4" spans="1:50" x14ac:dyDescent="0.25">
      <c r="A4" t="s">
        <v>210</v>
      </c>
      <c r="B4" t="s">
        <v>211</v>
      </c>
      <c r="C4" s="25">
        <v>44750</v>
      </c>
      <c r="D4" s="15">
        <v>555000</v>
      </c>
      <c r="E4" t="s">
        <v>131</v>
      </c>
      <c r="F4" t="s">
        <v>57</v>
      </c>
      <c r="G4" s="15">
        <v>555000</v>
      </c>
      <c r="H4" s="15">
        <v>258400</v>
      </c>
      <c r="I4" s="20">
        <f>H4/G4*100</f>
        <v>46.558558558558559</v>
      </c>
      <c r="J4" s="15">
        <v>605649</v>
      </c>
      <c r="K4" s="15">
        <f>G4-546211</f>
        <v>8789</v>
      </c>
      <c r="L4" s="15">
        <v>59438</v>
      </c>
      <c r="M4" s="30">
        <v>79.25</v>
      </c>
      <c r="N4" s="34">
        <v>297</v>
      </c>
      <c r="O4" s="39">
        <v>0.54</v>
      </c>
      <c r="P4" s="39">
        <v>0.54</v>
      </c>
      <c r="Q4" s="15">
        <f>K4/M4</f>
        <v>110.90220820189275</v>
      </c>
      <c r="R4" s="15">
        <f>K4/O4</f>
        <v>16275.925925925925</v>
      </c>
      <c r="S4" s="44">
        <f>K4/O4/43560</f>
        <v>0.37364384586606808</v>
      </c>
      <c r="T4" s="39">
        <v>79.25</v>
      </c>
      <c r="U4" s="5" t="s">
        <v>48</v>
      </c>
      <c r="V4" t="s">
        <v>212</v>
      </c>
      <c r="X4" t="s">
        <v>51</v>
      </c>
      <c r="Y4">
        <v>0</v>
      </c>
      <c r="Z4">
        <v>1</v>
      </c>
      <c r="AA4" s="6">
        <v>45110</v>
      </c>
      <c r="AB4" t="s">
        <v>59</v>
      </c>
      <c r="AC4" s="7" t="s">
        <v>60</v>
      </c>
      <c r="AD4" t="s">
        <v>54</v>
      </c>
    </row>
    <row r="5" spans="1:50" x14ac:dyDescent="0.25">
      <c r="A5" t="s">
        <v>84</v>
      </c>
      <c r="B5" t="s">
        <v>85</v>
      </c>
      <c r="C5" s="25">
        <v>44524</v>
      </c>
      <c r="D5" s="15">
        <v>155200</v>
      </c>
      <c r="E5" t="s">
        <v>46</v>
      </c>
      <c r="F5" t="s">
        <v>57</v>
      </c>
      <c r="G5" s="15">
        <v>155200</v>
      </c>
      <c r="H5" s="15">
        <v>66800</v>
      </c>
      <c r="I5" s="20">
        <f>H5/G5*100</f>
        <v>43.041237113402062</v>
      </c>
      <c r="J5" s="15">
        <v>157626</v>
      </c>
      <c r="K5" s="15">
        <f>G5-0</f>
        <v>155200</v>
      </c>
      <c r="L5" s="15">
        <v>157626</v>
      </c>
      <c r="M5" s="30">
        <v>868</v>
      </c>
      <c r="N5" s="34">
        <v>0</v>
      </c>
      <c r="O5" s="39">
        <v>7.7</v>
      </c>
      <c r="P5" s="39">
        <v>7.7</v>
      </c>
      <c r="Q5" s="15">
        <f>K5/M5</f>
        <v>178.80184331797236</v>
      </c>
      <c r="R5" s="15">
        <f>K5/O5</f>
        <v>20155.844155844155</v>
      </c>
      <c r="S5" s="44">
        <f>K5/O5/43560</f>
        <v>0.46271451230128913</v>
      </c>
      <c r="T5" s="39">
        <v>868</v>
      </c>
      <c r="U5" s="5" t="s">
        <v>48</v>
      </c>
      <c r="V5" t="s">
        <v>86</v>
      </c>
      <c r="X5" t="s">
        <v>51</v>
      </c>
      <c r="Y5">
        <v>0</v>
      </c>
      <c r="Z5">
        <v>1</v>
      </c>
      <c r="AA5" t="s">
        <v>68</v>
      </c>
      <c r="AB5" t="s">
        <v>76</v>
      </c>
      <c r="AC5" s="7" t="s">
        <v>69</v>
      </c>
      <c r="AD5" t="s">
        <v>87</v>
      </c>
    </row>
    <row r="6" spans="1:50" x14ac:dyDescent="0.25">
      <c r="A6" t="s">
        <v>121</v>
      </c>
      <c r="B6" t="s">
        <v>122</v>
      </c>
      <c r="C6" s="25">
        <v>44553</v>
      </c>
      <c r="D6" s="15">
        <v>90000</v>
      </c>
      <c r="E6" t="s">
        <v>46</v>
      </c>
      <c r="F6" t="s">
        <v>47</v>
      </c>
      <c r="G6" s="15">
        <v>90000</v>
      </c>
      <c r="H6" s="15">
        <v>52800</v>
      </c>
      <c r="I6" s="20">
        <f>H6/G6*100</f>
        <v>58.666666666666664</v>
      </c>
      <c r="J6" s="15">
        <v>162500</v>
      </c>
      <c r="K6" s="15">
        <f>G6-0</f>
        <v>90000</v>
      </c>
      <c r="L6" s="15">
        <v>135000</v>
      </c>
      <c r="M6" s="30">
        <v>435</v>
      </c>
      <c r="N6" s="34">
        <v>0</v>
      </c>
      <c r="O6" s="39">
        <v>3.82</v>
      </c>
      <c r="P6" s="39">
        <v>3.29</v>
      </c>
      <c r="Q6" s="15">
        <f>K6/M6</f>
        <v>206.89655172413794</v>
      </c>
      <c r="R6" s="15">
        <f>K6/O6</f>
        <v>23560.209424083772</v>
      </c>
      <c r="S6" s="44">
        <f>K6/O6/43560</f>
        <v>0.54086798494223531</v>
      </c>
      <c r="T6" s="39">
        <v>435</v>
      </c>
      <c r="U6" s="5" t="s">
        <v>48</v>
      </c>
      <c r="V6" t="s">
        <v>123</v>
      </c>
      <c r="W6" t="s">
        <v>124</v>
      </c>
      <c r="X6" t="s">
        <v>51</v>
      </c>
      <c r="Y6">
        <v>0</v>
      </c>
      <c r="Z6">
        <v>0</v>
      </c>
      <c r="AA6" t="s">
        <v>68</v>
      </c>
      <c r="AB6" t="s">
        <v>76</v>
      </c>
      <c r="AC6" s="7" t="s">
        <v>69</v>
      </c>
      <c r="AD6" t="s">
        <v>54</v>
      </c>
    </row>
    <row r="7" spans="1:50" x14ac:dyDescent="0.25">
      <c r="A7" t="s">
        <v>203</v>
      </c>
      <c r="B7" t="s">
        <v>204</v>
      </c>
      <c r="C7" s="25">
        <v>44461</v>
      </c>
      <c r="D7" s="15">
        <v>415000</v>
      </c>
      <c r="E7" t="s">
        <v>46</v>
      </c>
      <c r="F7" t="s">
        <v>57</v>
      </c>
      <c r="G7" s="15">
        <v>415000</v>
      </c>
      <c r="H7" s="15">
        <v>175100</v>
      </c>
      <c r="I7" s="20">
        <f>H7/G7*100</f>
        <v>42.192771084337352</v>
      </c>
      <c r="J7" s="15">
        <v>434358</v>
      </c>
      <c r="K7" s="15">
        <f>G7-389842</f>
        <v>25158</v>
      </c>
      <c r="L7" s="15">
        <v>44516</v>
      </c>
      <c r="M7" s="30">
        <v>111.29</v>
      </c>
      <c r="N7" s="34">
        <v>207</v>
      </c>
      <c r="O7" s="39">
        <v>0.52900000000000003</v>
      </c>
      <c r="P7" s="39">
        <v>0.52900000000000003</v>
      </c>
      <c r="Q7" s="15">
        <f>K7/M7</f>
        <v>226.05804654506244</v>
      </c>
      <c r="R7" s="15">
        <f>K7/O7</f>
        <v>47557.65595463138</v>
      </c>
      <c r="S7" s="44">
        <f>K7/O7/43560</f>
        <v>1.0917735526774881</v>
      </c>
      <c r="T7" s="39">
        <v>111.29</v>
      </c>
      <c r="U7" s="5" t="s">
        <v>48</v>
      </c>
      <c r="V7" t="s">
        <v>205</v>
      </c>
      <c r="X7" t="s">
        <v>51</v>
      </c>
      <c r="Y7">
        <v>0</v>
      </c>
      <c r="Z7">
        <v>0</v>
      </c>
      <c r="AA7" s="6">
        <v>45114</v>
      </c>
      <c r="AB7" t="s">
        <v>59</v>
      </c>
      <c r="AC7" s="7" t="s">
        <v>60</v>
      </c>
      <c r="AD7" t="s">
        <v>61</v>
      </c>
    </row>
    <row r="8" spans="1:50" x14ac:dyDescent="0.25">
      <c r="A8" t="s">
        <v>95</v>
      </c>
      <c r="B8" t="s">
        <v>96</v>
      </c>
      <c r="C8" s="25">
        <v>44494</v>
      </c>
      <c r="D8" s="15">
        <v>260000</v>
      </c>
      <c r="E8" t="s">
        <v>46</v>
      </c>
      <c r="F8" t="s">
        <v>47</v>
      </c>
      <c r="G8" s="15">
        <v>260000</v>
      </c>
      <c r="H8" s="15">
        <v>120200</v>
      </c>
      <c r="I8" s="20">
        <f>H8/G8*100</f>
        <v>46.230769230769234</v>
      </c>
      <c r="J8" s="15">
        <v>299067</v>
      </c>
      <c r="K8" s="15">
        <f>G8-174479</f>
        <v>85521</v>
      </c>
      <c r="L8" s="15">
        <v>96980</v>
      </c>
      <c r="M8" s="30">
        <v>340.28</v>
      </c>
      <c r="N8" s="34">
        <v>318.85000600000001</v>
      </c>
      <c r="O8" s="39">
        <v>2.4790000000000001</v>
      </c>
      <c r="P8" s="39">
        <v>1.7589999999999999</v>
      </c>
      <c r="Q8" s="15">
        <f>K8/M8</f>
        <v>251.32537909956508</v>
      </c>
      <c r="R8" s="15">
        <f>K8/O8</f>
        <v>34498.184751916095</v>
      </c>
      <c r="S8" s="44">
        <f>K8/O8/43560</f>
        <v>0.79196934692185705</v>
      </c>
      <c r="T8" s="39">
        <v>340.28</v>
      </c>
      <c r="U8" s="5" t="s">
        <v>48</v>
      </c>
      <c r="V8" t="s">
        <v>97</v>
      </c>
      <c r="W8" t="s">
        <v>98</v>
      </c>
      <c r="X8" t="s">
        <v>51</v>
      </c>
      <c r="Y8">
        <v>0</v>
      </c>
      <c r="Z8">
        <v>1</v>
      </c>
      <c r="AA8" s="6">
        <v>45143</v>
      </c>
      <c r="AB8" t="s">
        <v>59</v>
      </c>
      <c r="AC8" s="7" t="s">
        <v>60</v>
      </c>
      <c r="AD8" t="s">
        <v>94</v>
      </c>
    </row>
    <row r="9" spans="1:50" ht="15.75" thickBot="1" x14ac:dyDescent="0.3">
      <c r="A9" t="s">
        <v>207</v>
      </c>
      <c r="B9" t="s">
        <v>208</v>
      </c>
      <c r="C9" s="25">
        <v>44379</v>
      </c>
      <c r="D9" s="15">
        <v>430000</v>
      </c>
      <c r="E9" t="s">
        <v>46</v>
      </c>
      <c r="F9" t="s">
        <v>57</v>
      </c>
      <c r="G9" s="15">
        <v>430000</v>
      </c>
      <c r="H9" s="15">
        <v>209200</v>
      </c>
      <c r="I9" s="20">
        <f>H9/G9*100</f>
        <v>48.651162790697668</v>
      </c>
      <c r="J9" s="15">
        <v>454824</v>
      </c>
      <c r="K9" s="15">
        <f>G9-394814-10010</f>
        <v>25176</v>
      </c>
      <c r="L9" s="15">
        <v>50000</v>
      </c>
      <c r="M9" s="30">
        <v>100</v>
      </c>
      <c r="N9" s="34">
        <v>211</v>
      </c>
      <c r="O9" s="39">
        <v>0.48399999999999999</v>
      </c>
      <c r="P9" s="39">
        <v>0.48399999999999999</v>
      </c>
      <c r="Q9" s="15">
        <f>K9/M9</f>
        <v>251.76</v>
      </c>
      <c r="R9" s="15">
        <f>K9/O9</f>
        <v>52016.528925619838</v>
      </c>
      <c r="S9" s="44">
        <f>K9/O9/43560</f>
        <v>1.194135191129932</v>
      </c>
      <c r="T9" s="39">
        <v>100</v>
      </c>
      <c r="U9" s="5" t="s">
        <v>48</v>
      </c>
      <c r="V9" t="s">
        <v>209</v>
      </c>
      <c r="X9" t="s">
        <v>51</v>
      </c>
      <c r="Y9">
        <v>0</v>
      </c>
      <c r="Z9">
        <v>0</v>
      </c>
      <c r="AA9" s="6">
        <v>45110</v>
      </c>
      <c r="AB9" t="s">
        <v>59</v>
      </c>
      <c r="AC9" s="7" t="s">
        <v>60</v>
      </c>
      <c r="AD9" t="s">
        <v>54</v>
      </c>
    </row>
    <row r="10" spans="1:50" ht="15.75" thickTop="1" x14ac:dyDescent="0.25">
      <c r="A10" s="8"/>
      <c r="B10" s="8"/>
      <c r="C10" s="26" t="s">
        <v>222</v>
      </c>
      <c r="D10" s="16">
        <f>+SUM(D2:D9)</f>
        <v>2385100</v>
      </c>
      <c r="E10" s="8"/>
      <c r="F10" s="8"/>
      <c r="G10" s="16">
        <f>+SUM(G2:G9)</f>
        <v>2385100</v>
      </c>
      <c r="H10" s="16">
        <f>+SUM(H2:H9)</f>
        <v>1109400</v>
      </c>
      <c r="I10" s="21"/>
      <c r="J10" s="16">
        <f>+SUM(J2:J9)</f>
        <v>2682311</v>
      </c>
      <c r="K10" s="16">
        <f>+SUM(K2:K9)</f>
        <v>402457</v>
      </c>
      <c r="L10" s="16">
        <f>+SUM(L2:L9)</f>
        <v>644560</v>
      </c>
      <c r="M10" s="31">
        <f>+SUM(M2:M9)</f>
        <v>2098.8199999999997</v>
      </c>
      <c r="N10" s="35"/>
      <c r="O10" s="40">
        <f>+SUM(O2:O9)</f>
        <v>16.079999999999998</v>
      </c>
      <c r="P10" s="40">
        <f>+SUM(P2:P9)</f>
        <v>14.83</v>
      </c>
      <c r="Q10" s="16"/>
      <c r="R10" s="16"/>
      <c r="S10" s="45"/>
      <c r="T10" s="40"/>
      <c r="U10" s="9"/>
      <c r="V10" s="8"/>
      <c r="W10" s="8"/>
      <c r="X10" s="8"/>
      <c r="Y10" s="8"/>
      <c r="Z10" s="8"/>
      <c r="AA10" s="8"/>
      <c r="AB10" s="8"/>
      <c r="AC10" s="8"/>
      <c r="AD10" s="8"/>
    </row>
    <row r="11" spans="1:50" x14ac:dyDescent="0.25">
      <c r="A11" s="10"/>
      <c r="B11" s="10"/>
      <c r="C11" s="27"/>
      <c r="D11" s="17"/>
      <c r="E11" s="10"/>
      <c r="F11" s="10"/>
      <c r="G11" s="17"/>
      <c r="H11" s="17" t="s">
        <v>223</v>
      </c>
      <c r="I11" s="22">
        <f>H10/G10*100</f>
        <v>46.513773007421072</v>
      </c>
      <c r="J11" s="17"/>
      <c r="K11" s="17"/>
      <c r="L11" s="17" t="s">
        <v>224</v>
      </c>
      <c r="M11" s="32"/>
      <c r="N11" s="36"/>
      <c r="O11" s="41" t="s">
        <v>224</v>
      </c>
      <c r="P11" s="41"/>
      <c r="Q11" s="17"/>
      <c r="R11" s="17" t="s">
        <v>224</v>
      </c>
      <c r="S11" s="46"/>
      <c r="T11" s="41"/>
      <c r="U11" s="11"/>
      <c r="V11" s="10"/>
      <c r="W11" s="10"/>
      <c r="X11" s="10"/>
      <c r="Y11" s="10"/>
      <c r="Z11" s="10"/>
      <c r="AA11" s="10"/>
      <c r="AB11" s="10"/>
      <c r="AC11" s="10"/>
      <c r="AD11" s="10"/>
    </row>
    <row r="12" spans="1:50" x14ac:dyDescent="0.25">
      <c r="A12" s="12"/>
      <c r="B12" s="12"/>
      <c r="C12" s="28"/>
      <c r="D12" s="18"/>
      <c r="E12" s="12"/>
      <c r="F12" s="12"/>
      <c r="G12" s="18"/>
      <c r="H12" s="18" t="s">
        <v>225</v>
      </c>
      <c r="I12" s="23">
        <f>STDEV(I2:I9)</f>
        <v>5.2246233720871542</v>
      </c>
      <c r="J12" s="18"/>
      <c r="K12" s="18"/>
      <c r="L12" s="18" t="s">
        <v>226</v>
      </c>
      <c r="M12" s="48">
        <f>K10/M10</f>
        <v>191.75393792702567</v>
      </c>
      <c r="N12" s="37"/>
      <c r="O12" s="42" t="s">
        <v>227</v>
      </c>
      <c r="P12" s="42">
        <f>K10/O10</f>
        <v>25028.420398009952</v>
      </c>
      <c r="Q12" s="18"/>
      <c r="R12" s="18" t="s">
        <v>228</v>
      </c>
      <c r="S12" s="47">
        <f>K10/O10/43560</f>
        <v>0.57457347102869494</v>
      </c>
      <c r="T12" s="42"/>
      <c r="U12" s="13"/>
      <c r="V12" s="12"/>
      <c r="W12" s="12"/>
      <c r="X12" s="12"/>
      <c r="Y12" s="12"/>
      <c r="Z12" s="12"/>
      <c r="AA12" s="12"/>
      <c r="AB12" s="12"/>
      <c r="AC12" s="12"/>
      <c r="AD12" s="12"/>
    </row>
    <row r="14" spans="1:50" x14ac:dyDescent="0.25">
      <c r="K14" s="53"/>
      <c r="L14" s="54" t="s">
        <v>236</v>
      </c>
      <c r="M14" s="56">
        <v>190</v>
      </c>
    </row>
  </sheetData>
  <sortState xmlns:xlrd2="http://schemas.microsoft.com/office/spreadsheetml/2017/richdata2" ref="A2:AD9">
    <sortCondition ref="Q2:Q9"/>
  </sortState>
  <conditionalFormatting sqref="A2:AD9">
    <cfRule type="expression" dxfId="23" priority="1" stopIfTrue="1">
      <formula>MOD(ROW(),4)&gt;1</formula>
    </cfRule>
    <cfRule type="expression" dxfId="22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D022D-9520-4CDC-9B0D-0D7BF7980CB1}">
  <dimension ref="A1:AX9"/>
  <sheetViews>
    <sheetView workbookViewId="0">
      <selection activeCell="M9" sqref="K9:M9"/>
    </sheetView>
  </sheetViews>
  <sheetFormatPr defaultRowHeight="15" x14ac:dyDescent="0.25"/>
  <cols>
    <col min="1" max="1" width="14.28515625" bestFit="1" customWidth="1"/>
    <col min="2" max="2" width="27.425781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23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3.42578125" bestFit="1" customWidth="1"/>
    <col min="29" max="29" width="5.42578125" bestFit="1" customWidth="1"/>
    <col min="30" max="30" width="16.710937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171</v>
      </c>
      <c r="B2" t="s">
        <v>172</v>
      </c>
      <c r="C2" s="25">
        <v>44671</v>
      </c>
      <c r="D2" s="15">
        <v>565000</v>
      </c>
      <c r="E2" t="s">
        <v>46</v>
      </c>
      <c r="F2" t="s">
        <v>57</v>
      </c>
      <c r="G2" s="15">
        <v>565000</v>
      </c>
      <c r="H2" s="15">
        <v>207300</v>
      </c>
      <c r="I2" s="20">
        <f>H2/G2*100</f>
        <v>36.690265486725664</v>
      </c>
      <c r="J2" s="15">
        <v>485487</v>
      </c>
      <c r="K2" s="15">
        <f>G2-472012</f>
        <v>92988</v>
      </c>
      <c r="L2" s="15">
        <v>43475</v>
      </c>
      <c r="M2" s="30">
        <v>47</v>
      </c>
      <c r="N2" s="34">
        <v>250</v>
      </c>
      <c r="O2" s="39">
        <v>0.27</v>
      </c>
      <c r="P2" s="39">
        <v>0.27</v>
      </c>
      <c r="Q2" s="15">
        <f>K2/M2</f>
        <v>1978.4680851063829</v>
      </c>
      <c r="R2" s="15">
        <f>K2/O2</f>
        <v>344400</v>
      </c>
      <c r="S2" s="44">
        <f>K2/O2/43560</f>
        <v>7.9063360881542701</v>
      </c>
      <c r="T2" s="39">
        <v>47</v>
      </c>
      <c r="U2" s="5" t="s">
        <v>48</v>
      </c>
      <c r="V2" t="s">
        <v>173</v>
      </c>
      <c r="X2" t="s">
        <v>51</v>
      </c>
      <c r="Y2">
        <v>0</v>
      </c>
      <c r="Z2">
        <v>1</v>
      </c>
      <c r="AA2" s="6">
        <v>45123</v>
      </c>
      <c r="AB2" t="s">
        <v>59</v>
      </c>
      <c r="AC2" s="7" t="s">
        <v>60</v>
      </c>
      <c r="AD2" t="s">
        <v>174</v>
      </c>
    </row>
    <row r="3" spans="1:50" x14ac:dyDescent="0.25">
      <c r="A3" t="s">
        <v>200</v>
      </c>
      <c r="B3" t="s">
        <v>201</v>
      </c>
      <c r="C3" s="25">
        <v>44613</v>
      </c>
      <c r="D3" s="15">
        <v>565000</v>
      </c>
      <c r="E3" t="s">
        <v>46</v>
      </c>
      <c r="F3" t="s">
        <v>57</v>
      </c>
      <c r="G3" s="15">
        <v>565000</v>
      </c>
      <c r="H3" s="15">
        <v>269300</v>
      </c>
      <c r="I3" s="20">
        <f>H3/G3*100</f>
        <v>47.663716814159294</v>
      </c>
      <c r="J3" s="15">
        <v>605504</v>
      </c>
      <c r="K3" s="15">
        <f>G3-503754</f>
        <v>61246</v>
      </c>
      <c r="L3" s="15">
        <v>101750</v>
      </c>
      <c r="M3" s="30">
        <v>110</v>
      </c>
      <c r="N3" s="34">
        <v>195</v>
      </c>
      <c r="O3" s="39">
        <v>0.49199999999999999</v>
      </c>
      <c r="P3" s="39">
        <v>0.49199999999999999</v>
      </c>
      <c r="Q3" s="15">
        <f>K3/M3</f>
        <v>556.78181818181815</v>
      </c>
      <c r="R3" s="15">
        <f>K3/O3</f>
        <v>124483.73983739837</v>
      </c>
      <c r="S3" s="44">
        <f>K3/O3/43560</f>
        <v>2.8577534397933513</v>
      </c>
      <c r="T3" s="39">
        <v>110</v>
      </c>
      <c r="U3" s="5" t="s">
        <v>48</v>
      </c>
      <c r="V3" t="s">
        <v>202</v>
      </c>
      <c r="X3" t="s">
        <v>51</v>
      </c>
      <c r="Y3">
        <v>0</v>
      </c>
      <c r="Z3">
        <v>1</v>
      </c>
      <c r="AA3" s="6">
        <v>45190</v>
      </c>
      <c r="AB3" t="s">
        <v>52</v>
      </c>
      <c r="AC3" s="7" t="s">
        <v>60</v>
      </c>
      <c r="AD3" t="s">
        <v>174</v>
      </c>
    </row>
    <row r="4" spans="1:50" ht="15.75" thickBot="1" x14ac:dyDescent="0.3">
      <c r="A4" t="s">
        <v>213</v>
      </c>
      <c r="B4" t="s">
        <v>214</v>
      </c>
      <c r="C4" s="25">
        <v>44778</v>
      </c>
      <c r="D4" s="15">
        <v>520000</v>
      </c>
      <c r="E4" t="s">
        <v>46</v>
      </c>
      <c r="F4" t="s">
        <v>57</v>
      </c>
      <c r="G4" s="15">
        <v>520000</v>
      </c>
      <c r="H4" s="15">
        <v>224500</v>
      </c>
      <c r="I4" s="20">
        <f>H4/G4*100</f>
        <v>43.173076923076927</v>
      </c>
      <c r="J4" s="15">
        <v>524746</v>
      </c>
      <c r="K4" s="15">
        <f>G4-469246</f>
        <v>50754</v>
      </c>
      <c r="L4" s="15">
        <v>55500</v>
      </c>
      <c r="M4" s="30">
        <v>60</v>
      </c>
      <c r="N4" s="34">
        <v>200</v>
      </c>
      <c r="O4" s="39">
        <v>0.27500000000000002</v>
      </c>
      <c r="P4" s="39">
        <v>0.27500000000000002</v>
      </c>
      <c r="Q4" s="15">
        <f>K4/M4</f>
        <v>845.9</v>
      </c>
      <c r="R4" s="15">
        <f>K4/O4</f>
        <v>184559.99999999997</v>
      </c>
      <c r="S4" s="44">
        <f>K4/O4/43560</f>
        <v>4.2369146005509633</v>
      </c>
      <c r="T4" s="39">
        <v>60</v>
      </c>
      <c r="U4" s="5" t="s">
        <v>48</v>
      </c>
      <c r="V4" t="s">
        <v>215</v>
      </c>
      <c r="X4" t="s">
        <v>51</v>
      </c>
      <c r="Y4">
        <v>0</v>
      </c>
      <c r="Z4">
        <v>1</v>
      </c>
      <c r="AA4" s="6">
        <v>45101</v>
      </c>
      <c r="AB4" t="s">
        <v>59</v>
      </c>
      <c r="AC4" s="7" t="s">
        <v>60</v>
      </c>
      <c r="AD4" t="s">
        <v>174</v>
      </c>
    </row>
    <row r="5" spans="1:50" ht="15.75" thickTop="1" x14ac:dyDescent="0.25">
      <c r="A5" s="8"/>
      <c r="B5" s="8"/>
      <c r="C5" s="26" t="s">
        <v>222</v>
      </c>
      <c r="D5" s="16">
        <f>+SUM(D2:D4)</f>
        <v>1650000</v>
      </c>
      <c r="E5" s="8"/>
      <c r="F5" s="8"/>
      <c r="G5" s="16">
        <f>+SUM(G2:G4)</f>
        <v>1650000</v>
      </c>
      <c r="H5" s="16">
        <f>+SUM(H2:H4)</f>
        <v>701100</v>
      </c>
      <c r="I5" s="21"/>
      <c r="J5" s="16">
        <f>+SUM(J2:J4)</f>
        <v>1615737</v>
      </c>
      <c r="K5" s="16">
        <f>+SUM(K2:K4)</f>
        <v>204988</v>
      </c>
      <c r="L5" s="16">
        <f>+SUM(L2:L4)</f>
        <v>200725</v>
      </c>
      <c r="M5" s="31">
        <f>+SUM(M2:M4)</f>
        <v>217</v>
      </c>
      <c r="N5" s="35"/>
      <c r="O5" s="40">
        <f>+SUM(O2:O4)</f>
        <v>1.0369999999999999</v>
      </c>
      <c r="P5" s="40">
        <f>+SUM(P2:P4)</f>
        <v>1.0369999999999999</v>
      </c>
      <c r="Q5" s="16"/>
      <c r="R5" s="16"/>
      <c r="S5" s="45"/>
      <c r="T5" s="40"/>
      <c r="U5" s="9"/>
      <c r="V5" s="8"/>
      <c r="W5" s="8"/>
      <c r="X5" s="8"/>
      <c r="Y5" s="8"/>
      <c r="Z5" s="8"/>
      <c r="AA5" s="8"/>
      <c r="AB5" s="8"/>
      <c r="AC5" s="8"/>
      <c r="AD5" s="8"/>
    </row>
    <row r="6" spans="1:50" x14ac:dyDescent="0.25">
      <c r="A6" s="10"/>
      <c r="B6" s="10"/>
      <c r="C6" s="27"/>
      <c r="D6" s="17"/>
      <c r="E6" s="10"/>
      <c r="F6" s="10"/>
      <c r="G6" s="17"/>
      <c r="H6" s="17" t="s">
        <v>223</v>
      </c>
      <c r="I6" s="22">
        <f>H5/G5*100</f>
        <v>42.490909090909092</v>
      </c>
      <c r="J6" s="17"/>
      <c r="K6" s="17"/>
      <c r="L6" s="17" t="s">
        <v>224</v>
      </c>
      <c r="M6" s="32"/>
      <c r="N6" s="36"/>
      <c r="O6" s="41" t="s">
        <v>224</v>
      </c>
      <c r="P6" s="41"/>
      <c r="Q6" s="17"/>
      <c r="R6" s="17" t="s">
        <v>224</v>
      </c>
      <c r="S6" s="46"/>
      <c r="T6" s="41"/>
      <c r="U6" s="11"/>
      <c r="V6" s="10"/>
      <c r="W6" s="10"/>
      <c r="X6" s="10"/>
      <c r="Y6" s="10"/>
      <c r="Z6" s="10"/>
      <c r="AA6" s="10"/>
      <c r="AB6" s="10"/>
      <c r="AC6" s="10"/>
      <c r="AD6" s="10"/>
    </row>
    <row r="7" spans="1:50" x14ac:dyDescent="0.25">
      <c r="A7" s="12"/>
      <c r="B7" s="12"/>
      <c r="C7" s="28"/>
      <c r="D7" s="18"/>
      <c r="E7" s="12"/>
      <c r="F7" s="12"/>
      <c r="G7" s="18"/>
      <c r="H7" s="18" t="s">
        <v>225</v>
      </c>
      <c r="I7" s="23">
        <f>STDEV(I2:I4)</f>
        <v>5.5167823470181059</v>
      </c>
      <c r="J7" s="18"/>
      <c r="K7" s="18"/>
      <c r="L7" s="18" t="s">
        <v>226</v>
      </c>
      <c r="M7" s="48">
        <f>K5/M5</f>
        <v>944.64516129032256</v>
      </c>
      <c r="N7" s="37"/>
      <c r="O7" s="42" t="s">
        <v>227</v>
      </c>
      <c r="P7" s="42">
        <f>K5/O5</f>
        <v>197674.05978784958</v>
      </c>
      <c r="Q7" s="18"/>
      <c r="R7" s="18" t="s">
        <v>228</v>
      </c>
      <c r="S7" s="47">
        <f>K5/O5/43560</f>
        <v>4.5379719877835072</v>
      </c>
      <c r="T7" s="42"/>
      <c r="U7" s="13"/>
      <c r="V7" s="12"/>
      <c r="W7" s="12"/>
      <c r="X7" s="12"/>
      <c r="Y7" s="12"/>
      <c r="Z7" s="12"/>
      <c r="AA7" s="12"/>
      <c r="AB7" s="12"/>
      <c r="AC7" s="12"/>
      <c r="AD7" s="12"/>
    </row>
    <row r="9" spans="1:50" x14ac:dyDescent="0.25">
      <c r="K9" s="53"/>
      <c r="L9" s="54" t="s">
        <v>236</v>
      </c>
      <c r="M9" s="56">
        <v>945</v>
      </c>
    </row>
  </sheetData>
  <conditionalFormatting sqref="A2:AD4">
    <cfRule type="expression" dxfId="21" priority="1" stopIfTrue="1">
      <formula>MOD(ROW(),4)&gt;1</formula>
    </cfRule>
    <cfRule type="expression" dxfId="2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C2D85-1E0A-4B14-B025-7BC3E931A228}">
  <dimension ref="A1:AX13"/>
  <sheetViews>
    <sheetView workbookViewId="0">
      <selection activeCell="AB20" sqref="AB20"/>
    </sheetView>
  </sheetViews>
  <sheetFormatPr defaultRowHeight="15" x14ac:dyDescent="0.25"/>
  <cols>
    <col min="1" max="1" width="14.28515625" bestFit="1" customWidth="1"/>
    <col min="2" max="2" width="27.425781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23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3.42578125" bestFit="1" customWidth="1"/>
    <col min="29" max="29" width="5.42578125" bestFit="1" customWidth="1"/>
    <col min="30" max="30" width="16.710937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129</v>
      </c>
      <c r="B2" t="s">
        <v>130</v>
      </c>
      <c r="C2" s="25">
        <v>44736</v>
      </c>
      <c r="D2" s="15">
        <v>170000</v>
      </c>
      <c r="E2" t="s">
        <v>131</v>
      </c>
      <c r="F2" t="s">
        <v>57</v>
      </c>
      <c r="G2" s="15">
        <v>170000</v>
      </c>
      <c r="H2" s="15">
        <v>23400</v>
      </c>
      <c r="I2" s="20">
        <f>H2/G2*100</f>
        <v>13.76470588235294</v>
      </c>
      <c r="J2" s="15">
        <v>55838</v>
      </c>
      <c r="K2" s="15">
        <f>G2-0</f>
        <v>170000</v>
      </c>
      <c r="L2" s="15">
        <v>55838</v>
      </c>
      <c r="M2" s="30">
        <v>105</v>
      </c>
      <c r="N2" s="34">
        <v>0</v>
      </c>
      <c r="O2" s="39">
        <v>0.51</v>
      </c>
      <c r="P2" s="39">
        <v>0.51</v>
      </c>
      <c r="Q2" s="15">
        <f>K2/M2</f>
        <v>1619.047619047619</v>
      </c>
      <c r="R2" s="15">
        <f>K2/O2</f>
        <v>333333.33333333331</v>
      </c>
      <c r="S2" s="44">
        <f>K2/O2/43560</f>
        <v>7.6522803795531065</v>
      </c>
      <c r="T2" s="39">
        <v>105</v>
      </c>
      <c r="U2" s="5" t="s">
        <v>48</v>
      </c>
      <c r="V2" t="s">
        <v>132</v>
      </c>
      <c r="X2" t="s">
        <v>51</v>
      </c>
      <c r="Y2">
        <v>0</v>
      </c>
      <c r="Z2">
        <v>0</v>
      </c>
      <c r="AA2" t="s">
        <v>68</v>
      </c>
      <c r="AB2" t="s">
        <v>76</v>
      </c>
      <c r="AC2" s="7" t="s">
        <v>69</v>
      </c>
    </row>
    <row r="3" spans="1:50" x14ac:dyDescent="0.25">
      <c r="A3" t="s">
        <v>153</v>
      </c>
      <c r="B3" t="s">
        <v>154</v>
      </c>
      <c r="C3" s="25">
        <v>44795</v>
      </c>
      <c r="D3" s="15">
        <v>185000</v>
      </c>
      <c r="E3" t="s">
        <v>46</v>
      </c>
      <c r="F3" t="s">
        <v>57</v>
      </c>
      <c r="G3" s="15">
        <v>185000</v>
      </c>
      <c r="H3" s="15">
        <v>30000</v>
      </c>
      <c r="I3" s="20">
        <f>H3/G3*100</f>
        <v>16.216216216216218</v>
      </c>
      <c r="J3" s="15">
        <v>80000</v>
      </c>
      <c r="K3" s="15">
        <f>G3-0</f>
        <v>185000</v>
      </c>
      <c r="L3" s="15">
        <v>80000</v>
      </c>
      <c r="M3" s="30">
        <v>109.4</v>
      </c>
      <c r="N3" s="34">
        <v>194.64999399999999</v>
      </c>
      <c r="O3" s="39">
        <v>0.48899999999999999</v>
      </c>
      <c r="P3" s="39">
        <v>0.48899999999999999</v>
      </c>
      <c r="Q3" s="15">
        <f>K3/M3</f>
        <v>1691.0420475319927</v>
      </c>
      <c r="R3" s="15">
        <f>K3/O3</f>
        <v>378323.10838445806</v>
      </c>
      <c r="S3" s="44">
        <f>K3/O3/43560</f>
        <v>8.6851034982657964</v>
      </c>
      <c r="T3" s="39">
        <v>109.4</v>
      </c>
      <c r="U3" s="5" t="s">
        <v>48</v>
      </c>
      <c r="V3" t="s">
        <v>156</v>
      </c>
      <c r="X3" t="s">
        <v>51</v>
      </c>
      <c r="Y3">
        <v>0</v>
      </c>
      <c r="Z3">
        <v>0</v>
      </c>
      <c r="AA3" t="s">
        <v>68</v>
      </c>
      <c r="AB3" t="s">
        <v>76</v>
      </c>
      <c r="AC3" s="7" t="s">
        <v>69</v>
      </c>
    </row>
    <row r="4" spans="1:50" x14ac:dyDescent="0.25">
      <c r="A4" t="s">
        <v>99</v>
      </c>
      <c r="B4" t="s">
        <v>100</v>
      </c>
      <c r="C4" s="25">
        <v>44295</v>
      </c>
      <c r="D4" s="15">
        <v>325000</v>
      </c>
      <c r="E4" t="s">
        <v>46</v>
      </c>
      <c r="F4" t="s">
        <v>47</v>
      </c>
      <c r="G4" s="15">
        <v>325000</v>
      </c>
      <c r="H4" s="15">
        <v>53100</v>
      </c>
      <c r="I4" s="20">
        <f>H4/G4*100</f>
        <v>16.338461538461537</v>
      </c>
      <c r="J4" s="15">
        <v>232034</v>
      </c>
      <c r="K4" s="15">
        <f>G4-38126</f>
        <v>286874</v>
      </c>
      <c r="L4" s="15">
        <v>108900</v>
      </c>
      <c r="M4" s="30">
        <v>165</v>
      </c>
      <c r="N4" s="34">
        <v>264</v>
      </c>
      <c r="O4" s="39">
        <v>1</v>
      </c>
      <c r="P4" s="39">
        <v>1</v>
      </c>
      <c r="Q4" s="15">
        <f>K4/M4</f>
        <v>1738.6303030303031</v>
      </c>
      <c r="R4" s="15">
        <f>K4/O4</f>
        <v>286874</v>
      </c>
      <c r="S4" s="44">
        <f>K4/O4/43560</f>
        <v>6.5857208448117541</v>
      </c>
      <c r="T4" s="39">
        <v>165</v>
      </c>
      <c r="U4" s="5" t="s">
        <v>48</v>
      </c>
      <c r="V4" t="s">
        <v>101</v>
      </c>
      <c r="W4" t="s">
        <v>102</v>
      </c>
      <c r="X4" t="s">
        <v>51</v>
      </c>
      <c r="Y4">
        <v>0</v>
      </c>
      <c r="Z4">
        <v>1</v>
      </c>
      <c r="AA4" s="6">
        <v>45190</v>
      </c>
      <c r="AB4" t="s">
        <v>103</v>
      </c>
      <c r="AC4" s="7" t="s">
        <v>60</v>
      </c>
    </row>
    <row r="5" spans="1:50" x14ac:dyDescent="0.25">
      <c r="A5" t="s">
        <v>114</v>
      </c>
      <c r="B5" t="s">
        <v>115</v>
      </c>
      <c r="C5" s="25">
        <v>44491</v>
      </c>
      <c r="D5" s="15">
        <v>865000</v>
      </c>
      <c r="E5" t="s">
        <v>46</v>
      </c>
      <c r="F5" t="s">
        <v>57</v>
      </c>
      <c r="G5" s="15">
        <v>865000</v>
      </c>
      <c r="H5" s="15">
        <v>293500</v>
      </c>
      <c r="I5" s="20">
        <f>H5/G5*100</f>
        <v>33.930635838150295</v>
      </c>
      <c r="J5" s="15">
        <v>711635</v>
      </c>
      <c r="K5" s="15">
        <f>G5-671635</f>
        <v>193365</v>
      </c>
      <c r="L5" s="15">
        <v>40000</v>
      </c>
      <c r="M5" s="30">
        <v>100</v>
      </c>
      <c r="N5" s="34">
        <v>200</v>
      </c>
      <c r="O5" s="39">
        <v>0.45900000000000002</v>
      </c>
      <c r="P5" s="39">
        <v>0.45900000000000002</v>
      </c>
      <c r="Q5" s="15">
        <f>K5/M5</f>
        <v>1933.65</v>
      </c>
      <c r="R5" s="15">
        <f>K5/O5</f>
        <v>421274.50980392157</v>
      </c>
      <c r="S5" s="44">
        <f>K5/O5/43560</f>
        <v>9.6711319973352055</v>
      </c>
      <c r="T5" s="39">
        <v>100</v>
      </c>
      <c r="U5" s="5" t="s">
        <v>48</v>
      </c>
      <c r="V5" t="s">
        <v>116</v>
      </c>
      <c r="X5" t="s">
        <v>51</v>
      </c>
      <c r="Y5">
        <v>0</v>
      </c>
      <c r="Z5">
        <v>1</v>
      </c>
      <c r="AA5" s="6">
        <v>45192</v>
      </c>
      <c r="AB5" t="s">
        <v>52</v>
      </c>
      <c r="AC5" s="7" t="s">
        <v>60</v>
      </c>
    </row>
    <row r="6" spans="1:50" x14ac:dyDescent="0.25">
      <c r="A6" t="s">
        <v>108</v>
      </c>
      <c r="B6" t="s">
        <v>109</v>
      </c>
      <c r="C6" s="25">
        <v>44918</v>
      </c>
      <c r="D6" s="15">
        <v>499000</v>
      </c>
      <c r="E6" t="s">
        <v>46</v>
      </c>
      <c r="F6" t="s">
        <v>57</v>
      </c>
      <c r="G6" s="15">
        <v>499000</v>
      </c>
      <c r="H6" s="15">
        <v>121600</v>
      </c>
      <c r="I6" s="20">
        <f>H6/G6*100</f>
        <v>24.368737474949899</v>
      </c>
      <c r="J6" s="15">
        <v>463684</v>
      </c>
      <c r="K6" s="15">
        <f>G6-297684</f>
        <v>201316</v>
      </c>
      <c r="L6" s="15">
        <v>166000</v>
      </c>
      <c r="M6" s="30">
        <v>83</v>
      </c>
      <c r="N6" s="34">
        <v>0</v>
      </c>
      <c r="O6" s="39">
        <v>0.49</v>
      </c>
      <c r="P6" s="39">
        <v>0.49</v>
      </c>
      <c r="Q6" s="15">
        <f>K6/M6</f>
        <v>2425.4939759036147</v>
      </c>
      <c r="R6" s="15">
        <f>K6/O6</f>
        <v>410848.97959183675</v>
      </c>
      <c r="S6" s="44">
        <f>K6/O6/43560</f>
        <v>9.4317947564700813</v>
      </c>
      <c r="T6" s="39">
        <v>83</v>
      </c>
      <c r="U6" s="5" t="s">
        <v>48</v>
      </c>
      <c r="V6" t="s">
        <v>110</v>
      </c>
      <c r="X6" t="s">
        <v>51</v>
      </c>
      <c r="Y6">
        <v>0</v>
      </c>
      <c r="Z6">
        <v>1</v>
      </c>
      <c r="AA6" s="6">
        <v>45187</v>
      </c>
      <c r="AB6" t="s">
        <v>59</v>
      </c>
      <c r="AC6" s="7" t="s">
        <v>60</v>
      </c>
    </row>
    <row r="7" spans="1:50" x14ac:dyDescent="0.25">
      <c r="A7" t="s">
        <v>171</v>
      </c>
      <c r="B7" t="s">
        <v>172</v>
      </c>
      <c r="C7" s="25">
        <v>44671</v>
      </c>
      <c r="D7" s="15">
        <v>565000</v>
      </c>
      <c r="E7" t="s">
        <v>46</v>
      </c>
      <c r="F7" t="s">
        <v>57</v>
      </c>
      <c r="G7" s="15">
        <v>565000</v>
      </c>
      <c r="H7" s="15">
        <v>207300</v>
      </c>
      <c r="I7" s="20">
        <f>H7/G7*100</f>
        <v>36.690265486725664</v>
      </c>
      <c r="J7" s="15">
        <v>485487</v>
      </c>
      <c r="K7" s="15">
        <f>G7-442012</f>
        <v>122988</v>
      </c>
      <c r="L7" s="15">
        <v>43475</v>
      </c>
      <c r="M7" s="30">
        <v>47</v>
      </c>
      <c r="N7" s="34">
        <v>250</v>
      </c>
      <c r="O7" s="39">
        <v>0.27</v>
      </c>
      <c r="P7" s="39">
        <v>0.27</v>
      </c>
      <c r="Q7" s="15">
        <f>K7/M7</f>
        <v>2616.7659574468084</v>
      </c>
      <c r="R7" s="15">
        <f>K7/O7</f>
        <v>455511.11111111107</v>
      </c>
      <c r="S7" s="44">
        <f>K7/O7/43560</f>
        <v>10.457096214671971</v>
      </c>
      <c r="T7" s="39">
        <v>47</v>
      </c>
      <c r="U7" s="5" t="s">
        <v>48</v>
      </c>
      <c r="V7" t="s">
        <v>173</v>
      </c>
      <c r="X7" t="s">
        <v>51</v>
      </c>
      <c r="Y7">
        <v>0</v>
      </c>
      <c r="Z7">
        <v>1</v>
      </c>
      <c r="AA7" s="6">
        <v>45123</v>
      </c>
      <c r="AB7" t="s">
        <v>59</v>
      </c>
      <c r="AC7" s="7" t="s">
        <v>60</v>
      </c>
    </row>
    <row r="8" spans="1:50" ht="15.75" thickBot="1" x14ac:dyDescent="0.3">
      <c r="A8" t="s">
        <v>78</v>
      </c>
      <c r="B8" t="s">
        <v>79</v>
      </c>
      <c r="C8" s="25">
        <v>44501</v>
      </c>
      <c r="D8" s="15">
        <v>900000</v>
      </c>
      <c r="E8" t="s">
        <v>46</v>
      </c>
      <c r="F8" t="s">
        <v>57</v>
      </c>
      <c r="G8" s="15">
        <v>900000</v>
      </c>
      <c r="H8" s="15">
        <v>164100</v>
      </c>
      <c r="I8" s="20">
        <f>H8/G8*100</f>
        <v>18.233333333333331</v>
      </c>
      <c r="J8" s="15">
        <v>658985</v>
      </c>
      <c r="K8" s="15">
        <f>G8-527672</f>
        <v>372328</v>
      </c>
      <c r="L8" s="15">
        <v>131313</v>
      </c>
      <c r="M8" s="30">
        <v>137.5</v>
      </c>
      <c r="N8" s="34">
        <v>345.02999899999998</v>
      </c>
      <c r="O8" s="39">
        <v>1.089</v>
      </c>
      <c r="P8" s="39">
        <v>1.089</v>
      </c>
      <c r="Q8" s="15">
        <f>K8/M8</f>
        <v>2707.84</v>
      </c>
      <c r="R8" s="15">
        <f>K8/O8</f>
        <v>341898.98989898991</v>
      </c>
      <c r="S8" s="44">
        <f>K8/O8/43560</f>
        <v>7.8489207965791987</v>
      </c>
      <c r="T8" s="39">
        <v>137.5</v>
      </c>
      <c r="U8" s="5" t="s">
        <v>48</v>
      </c>
      <c r="V8" t="s">
        <v>80</v>
      </c>
      <c r="X8" t="s">
        <v>51</v>
      </c>
      <c r="Y8">
        <v>1</v>
      </c>
      <c r="Z8">
        <v>0</v>
      </c>
      <c r="AA8" s="6">
        <v>45164</v>
      </c>
      <c r="AB8" t="s">
        <v>59</v>
      </c>
      <c r="AC8" s="7" t="s">
        <v>60</v>
      </c>
    </row>
    <row r="9" spans="1:50" ht="15.75" thickTop="1" x14ac:dyDescent="0.25">
      <c r="A9" s="8"/>
      <c r="B9" s="8"/>
      <c r="C9" s="26" t="s">
        <v>222</v>
      </c>
      <c r="D9" s="16">
        <f>+SUM(D2:D8)</f>
        <v>3509000</v>
      </c>
      <c r="E9" s="8"/>
      <c r="F9" s="8"/>
      <c r="G9" s="16">
        <f>+SUM(G2:G8)</f>
        <v>3509000</v>
      </c>
      <c r="H9" s="16">
        <f>+SUM(H2:H8)</f>
        <v>893000</v>
      </c>
      <c r="I9" s="21"/>
      <c r="J9" s="16">
        <f>+SUM(J2:J8)</f>
        <v>2687663</v>
      </c>
      <c r="K9" s="16">
        <f>+SUM(K2:K8)</f>
        <v>1531871</v>
      </c>
      <c r="L9" s="16">
        <f>+SUM(L2:L8)</f>
        <v>625526</v>
      </c>
      <c r="M9" s="31">
        <f>+SUM(M2:M8)</f>
        <v>746.9</v>
      </c>
      <c r="N9" s="35"/>
      <c r="O9" s="40">
        <f>+SUM(O2:O8)</f>
        <v>4.3070000000000004</v>
      </c>
      <c r="P9" s="40">
        <f>+SUM(P2:P8)</f>
        <v>4.3070000000000004</v>
      </c>
      <c r="Q9" s="16"/>
      <c r="R9" s="16"/>
      <c r="S9" s="45"/>
      <c r="T9" s="40"/>
      <c r="U9" s="9"/>
      <c r="V9" s="8"/>
      <c r="W9" s="8"/>
      <c r="X9" s="8"/>
      <c r="Y9" s="8"/>
      <c r="Z9" s="8"/>
      <c r="AA9" s="8"/>
      <c r="AB9" s="8"/>
      <c r="AC9" s="8"/>
      <c r="AD9" s="8"/>
    </row>
    <row r="10" spans="1:50" x14ac:dyDescent="0.25">
      <c r="A10" s="10"/>
      <c r="B10" s="10"/>
      <c r="C10" s="27"/>
      <c r="D10" s="17"/>
      <c r="E10" s="10"/>
      <c r="F10" s="10"/>
      <c r="G10" s="17"/>
      <c r="H10" s="17" t="s">
        <v>223</v>
      </c>
      <c r="I10" s="22">
        <f>H9/G9*100</f>
        <v>25.448845825021372</v>
      </c>
      <c r="J10" s="17"/>
      <c r="K10" s="17"/>
      <c r="L10" s="17" t="s">
        <v>224</v>
      </c>
      <c r="M10" s="32"/>
      <c r="N10" s="36"/>
      <c r="O10" s="41" t="s">
        <v>224</v>
      </c>
      <c r="P10" s="41"/>
      <c r="Q10" s="17"/>
      <c r="R10" s="17" t="s">
        <v>224</v>
      </c>
      <c r="S10" s="46"/>
      <c r="T10" s="41"/>
      <c r="U10" s="11"/>
      <c r="V10" s="10"/>
      <c r="W10" s="10"/>
      <c r="X10" s="10"/>
      <c r="Y10" s="10"/>
      <c r="Z10" s="10"/>
      <c r="AA10" s="10"/>
      <c r="AB10" s="10"/>
      <c r="AC10" s="10"/>
      <c r="AD10" s="10"/>
    </row>
    <row r="11" spans="1:50" x14ac:dyDescent="0.25">
      <c r="A11" s="12"/>
      <c r="B11" s="12"/>
      <c r="C11" s="28"/>
      <c r="D11" s="18"/>
      <c r="E11" s="12"/>
      <c r="F11" s="12"/>
      <c r="G11" s="18"/>
      <c r="H11" s="18" t="s">
        <v>225</v>
      </c>
      <c r="I11" s="23">
        <f>STDEV(I2:I8)</f>
        <v>9.1912971922996167</v>
      </c>
      <c r="J11" s="18"/>
      <c r="K11" s="18"/>
      <c r="L11" s="18" t="s">
        <v>226</v>
      </c>
      <c r="M11" s="48">
        <f>K9/M9</f>
        <v>2050.9720176730489</v>
      </c>
      <c r="N11" s="37"/>
      <c r="O11" s="42" t="s">
        <v>227</v>
      </c>
      <c r="P11" s="42">
        <f>K9/O9</f>
        <v>355670.07197585324</v>
      </c>
      <c r="Q11" s="18"/>
      <c r="R11" s="18" t="s">
        <v>228</v>
      </c>
      <c r="S11" s="47">
        <f>K9/O9/43560</f>
        <v>8.1650613401251899</v>
      </c>
      <c r="T11" s="42"/>
      <c r="U11" s="13"/>
      <c r="V11" s="12"/>
      <c r="W11" s="12"/>
      <c r="X11" s="12"/>
      <c r="Y11" s="12"/>
      <c r="Z11" s="12"/>
      <c r="AA11" s="12"/>
      <c r="AB11" s="12"/>
      <c r="AC11" s="12"/>
      <c r="AD11" s="12"/>
    </row>
    <row r="13" spans="1:50" x14ac:dyDescent="0.25">
      <c r="K13" s="53"/>
      <c r="L13" s="54" t="s">
        <v>236</v>
      </c>
      <c r="M13" s="57">
        <v>2050</v>
      </c>
    </row>
  </sheetData>
  <sortState xmlns:xlrd2="http://schemas.microsoft.com/office/spreadsheetml/2017/richdata2" ref="A2:AD8">
    <sortCondition ref="Q2:Q8"/>
  </sortState>
  <conditionalFormatting sqref="A2:AD8">
    <cfRule type="expression" dxfId="19" priority="1" stopIfTrue="1">
      <formula>MOD(ROW(),4)&gt;1</formula>
    </cfRule>
    <cfRule type="expression" dxfId="18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C635A-4C6C-4110-9BA9-E680B4DC765A}">
  <dimension ref="A1:AX12"/>
  <sheetViews>
    <sheetView workbookViewId="0">
      <selection activeCell="L12" sqref="L12"/>
    </sheetView>
  </sheetViews>
  <sheetFormatPr defaultRowHeight="15" x14ac:dyDescent="0.25"/>
  <cols>
    <col min="1" max="1" width="14.28515625" bestFit="1" customWidth="1"/>
    <col min="2" max="2" width="27.425781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23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3.42578125" bestFit="1" customWidth="1"/>
    <col min="29" max="29" width="5.42578125" bestFit="1" customWidth="1"/>
    <col min="30" max="30" width="16.710937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105</v>
      </c>
      <c r="B2" t="s">
        <v>106</v>
      </c>
      <c r="C2" s="25">
        <v>44336</v>
      </c>
      <c r="D2" s="15">
        <v>220000</v>
      </c>
      <c r="E2" t="s">
        <v>46</v>
      </c>
      <c r="F2" t="s">
        <v>57</v>
      </c>
      <c r="G2" s="15">
        <v>220000</v>
      </c>
      <c r="H2" s="15">
        <v>52000</v>
      </c>
      <c r="I2" s="20">
        <f>H2/G2*100</f>
        <v>23.636363636363637</v>
      </c>
      <c r="J2" s="15">
        <v>108464</v>
      </c>
      <c r="K2" s="15">
        <f>G2-0</f>
        <v>220000</v>
      </c>
      <c r="L2" s="15">
        <v>108464</v>
      </c>
      <c r="M2" s="30">
        <v>164.34</v>
      </c>
      <c r="N2" s="34">
        <v>262.5</v>
      </c>
      <c r="O2" s="39">
        <v>0.99</v>
      </c>
      <c r="P2" s="39">
        <v>0.99</v>
      </c>
      <c r="Q2" s="15">
        <f>K2/M2</f>
        <v>1338.6880856760374</v>
      </c>
      <c r="R2" s="15">
        <f>K2/O2</f>
        <v>222222.22222222222</v>
      </c>
      <c r="S2" s="44">
        <f>K2/O2/43560</f>
        <v>5.1015202530354049</v>
      </c>
      <c r="T2" s="39">
        <v>164.34</v>
      </c>
      <c r="U2" s="5" t="s">
        <v>48</v>
      </c>
      <c r="V2" t="s">
        <v>107</v>
      </c>
      <c r="X2" t="s">
        <v>51</v>
      </c>
      <c r="Y2">
        <v>0</v>
      </c>
      <c r="Z2">
        <v>0</v>
      </c>
      <c r="AA2" s="6">
        <v>44935</v>
      </c>
      <c r="AB2" t="s">
        <v>76</v>
      </c>
      <c r="AC2" s="7" t="s">
        <v>69</v>
      </c>
      <c r="AD2" t="s">
        <v>104</v>
      </c>
    </row>
    <row r="3" spans="1:50" x14ac:dyDescent="0.25">
      <c r="A3" t="s">
        <v>111</v>
      </c>
      <c r="B3" t="s">
        <v>112</v>
      </c>
      <c r="C3" s="25">
        <v>44483</v>
      </c>
      <c r="D3" s="15">
        <v>93500</v>
      </c>
      <c r="E3" t="s">
        <v>46</v>
      </c>
      <c r="F3" t="s">
        <v>57</v>
      </c>
      <c r="G3" s="15">
        <v>93500</v>
      </c>
      <c r="H3" s="15">
        <v>24000</v>
      </c>
      <c r="I3" s="20">
        <f>H3/G3*100</f>
        <v>25.668449197860966</v>
      </c>
      <c r="J3" s="15">
        <v>248390</v>
      </c>
      <c r="K3" s="15">
        <f>G3-0</f>
        <v>93500</v>
      </c>
      <c r="L3" s="15">
        <v>40000</v>
      </c>
      <c r="M3" s="30">
        <v>100</v>
      </c>
      <c r="N3" s="34">
        <v>200</v>
      </c>
      <c r="O3" s="39">
        <v>0.45900000000000002</v>
      </c>
      <c r="P3" s="39">
        <v>0.45900000000000002</v>
      </c>
      <c r="Q3" s="15">
        <f>K3/M3</f>
        <v>935</v>
      </c>
      <c r="R3" s="15">
        <f>K3/O3</f>
        <v>203703.70370370371</v>
      </c>
      <c r="S3" s="44">
        <f>K3/O3/43560</f>
        <v>4.6763935652824546</v>
      </c>
      <c r="T3" s="39">
        <v>100</v>
      </c>
      <c r="U3" s="5" t="s">
        <v>48</v>
      </c>
      <c r="V3" t="s">
        <v>113</v>
      </c>
      <c r="X3" t="s">
        <v>51</v>
      </c>
      <c r="Y3">
        <v>0</v>
      </c>
      <c r="Z3">
        <v>1</v>
      </c>
      <c r="AA3" s="6">
        <v>44939</v>
      </c>
      <c r="AB3" t="s">
        <v>76</v>
      </c>
      <c r="AC3" s="7" t="s">
        <v>60</v>
      </c>
      <c r="AD3" t="s">
        <v>61</v>
      </c>
    </row>
    <row r="4" spans="1:50" x14ac:dyDescent="0.25">
      <c r="A4" t="s">
        <v>160</v>
      </c>
      <c r="B4" t="s">
        <v>161</v>
      </c>
      <c r="C4" s="25">
        <v>44333</v>
      </c>
      <c r="D4" s="15">
        <v>335000</v>
      </c>
      <c r="E4" t="s">
        <v>46</v>
      </c>
      <c r="F4" t="s">
        <v>57</v>
      </c>
      <c r="G4" s="15">
        <v>335000</v>
      </c>
      <c r="H4" s="15">
        <v>163700</v>
      </c>
      <c r="I4" s="20">
        <f>H4/G4*100</f>
        <v>48.865671641791046</v>
      </c>
      <c r="J4" s="15">
        <v>328892</v>
      </c>
      <c r="K4" s="15">
        <f>G4-14198-274694</f>
        <v>46108</v>
      </c>
      <c r="L4" s="15">
        <v>40000</v>
      </c>
      <c r="M4" s="30">
        <v>100</v>
      </c>
      <c r="N4" s="34">
        <v>200</v>
      </c>
      <c r="O4" s="39">
        <v>0.45900000000000002</v>
      </c>
      <c r="P4" s="39">
        <v>0.45900000000000002</v>
      </c>
      <c r="Q4" s="15">
        <f>K4/M4</f>
        <v>461.08</v>
      </c>
      <c r="R4" s="15">
        <f>K4/O4</f>
        <v>100453.15904139433</v>
      </c>
      <c r="S4" s="44">
        <f>K4/O4/43560</f>
        <v>2.3060872139897688</v>
      </c>
      <c r="T4" s="39">
        <v>100</v>
      </c>
      <c r="U4" s="5" t="s">
        <v>48</v>
      </c>
      <c r="V4" t="s">
        <v>162</v>
      </c>
      <c r="X4" t="s">
        <v>51</v>
      </c>
      <c r="Y4">
        <v>0</v>
      </c>
      <c r="Z4">
        <v>0</v>
      </c>
      <c r="AA4" s="6">
        <v>45085</v>
      </c>
      <c r="AB4" t="s">
        <v>59</v>
      </c>
      <c r="AC4" s="7" t="s">
        <v>60</v>
      </c>
      <c r="AD4" t="s">
        <v>61</v>
      </c>
    </row>
    <row r="5" spans="1:50" x14ac:dyDescent="0.25">
      <c r="A5" t="s">
        <v>167</v>
      </c>
      <c r="B5" t="s">
        <v>168</v>
      </c>
      <c r="C5" s="25">
        <v>44482</v>
      </c>
      <c r="D5" s="15">
        <v>320000</v>
      </c>
      <c r="E5" t="s">
        <v>46</v>
      </c>
      <c r="F5" t="s">
        <v>47</v>
      </c>
      <c r="G5" s="15">
        <v>320000</v>
      </c>
      <c r="H5" s="15">
        <v>109100</v>
      </c>
      <c r="I5" s="20">
        <f>H5/G5*100</f>
        <v>34.09375</v>
      </c>
      <c r="J5" s="15">
        <v>271012</v>
      </c>
      <c r="K5" s="15">
        <f>G5-222608</f>
        <v>97392</v>
      </c>
      <c r="L5" s="15">
        <v>44500</v>
      </c>
      <c r="M5" s="30">
        <v>200</v>
      </c>
      <c r="N5" s="34">
        <v>350</v>
      </c>
      <c r="O5" s="39">
        <v>0.80300000000000005</v>
      </c>
      <c r="P5" s="39">
        <v>0.45900000000000002</v>
      </c>
      <c r="Q5" s="15">
        <f>K5/M5</f>
        <v>486.96</v>
      </c>
      <c r="R5" s="15">
        <f>K5/O5</f>
        <v>121285.18057285179</v>
      </c>
      <c r="S5" s="44">
        <f>K5/O5/43560</f>
        <v>2.7843246228845682</v>
      </c>
      <c r="T5" s="39">
        <v>200</v>
      </c>
      <c r="U5" s="5" t="s">
        <v>48</v>
      </c>
      <c r="V5" t="s">
        <v>169</v>
      </c>
      <c r="W5" t="s">
        <v>170</v>
      </c>
      <c r="X5" t="s">
        <v>51</v>
      </c>
      <c r="Y5">
        <v>0</v>
      </c>
      <c r="Z5">
        <v>0</v>
      </c>
      <c r="AA5" s="6">
        <v>45085</v>
      </c>
      <c r="AB5" t="s">
        <v>59</v>
      </c>
      <c r="AC5" s="7" t="s">
        <v>60</v>
      </c>
      <c r="AD5" t="s">
        <v>61</v>
      </c>
    </row>
    <row r="6" spans="1:50" x14ac:dyDescent="0.25">
      <c r="A6" t="s">
        <v>203</v>
      </c>
      <c r="B6" t="s">
        <v>204</v>
      </c>
      <c r="C6" s="25">
        <v>44461</v>
      </c>
      <c r="D6" s="15">
        <v>415000</v>
      </c>
      <c r="E6" t="s">
        <v>46</v>
      </c>
      <c r="F6" t="s">
        <v>57</v>
      </c>
      <c r="G6" s="15">
        <v>415000</v>
      </c>
      <c r="H6" s="15">
        <v>175100</v>
      </c>
      <c r="I6" s="20">
        <f>H6/G6*100</f>
        <v>42.192771084337352</v>
      </c>
      <c r="J6" s="15">
        <v>434358</v>
      </c>
      <c r="K6" s="15">
        <f>G6-389842</f>
        <v>25158</v>
      </c>
      <c r="L6" s="15">
        <v>44516</v>
      </c>
      <c r="M6" s="30">
        <v>111.29</v>
      </c>
      <c r="N6" s="34">
        <v>207</v>
      </c>
      <c r="O6" s="39">
        <v>0.52900000000000003</v>
      </c>
      <c r="P6" s="39">
        <v>0.52900000000000003</v>
      </c>
      <c r="Q6" s="15">
        <f>K6/M6</f>
        <v>226.05804654506244</v>
      </c>
      <c r="R6" s="15">
        <f>K6/O6</f>
        <v>47557.65595463138</v>
      </c>
      <c r="S6" s="44">
        <f>K6/O6/43560</f>
        <v>1.0917735526774881</v>
      </c>
      <c r="T6" s="39">
        <v>111.29</v>
      </c>
      <c r="U6" s="5" t="s">
        <v>48</v>
      </c>
      <c r="V6" t="s">
        <v>205</v>
      </c>
      <c r="X6" t="s">
        <v>51</v>
      </c>
      <c r="Y6">
        <v>0</v>
      </c>
      <c r="Z6">
        <v>0</v>
      </c>
      <c r="AA6" s="6">
        <v>45114</v>
      </c>
      <c r="AB6" t="s">
        <v>59</v>
      </c>
      <c r="AC6" s="7" t="s">
        <v>60</v>
      </c>
      <c r="AD6" t="s">
        <v>61</v>
      </c>
    </row>
    <row r="7" spans="1:50" ht="15.75" thickBot="1" x14ac:dyDescent="0.3">
      <c r="A7" t="s">
        <v>203</v>
      </c>
      <c r="B7" t="s">
        <v>204</v>
      </c>
      <c r="C7" s="25">
        <v>44893</v>
      </c>
      <c r="D7" s="15">
        <v>435000</v>
      </c>
      <c r="E7" t="s">
        <v>46</v>
      </c>
      <c r="F7" t="s">
        <v>57</v>
      </c>
      <c r="G7" s="15">
        <v>435000</v>
      </c>
      <c r="H7" s="15">
        <v>185900</v>
      </c>
      <c r="I7" s="20">
        <f>H7/G7*100</f>
        <v>42.735632183908045</v>
      </c>
      <c r="J7" s="15">
        <v>434358</v>
      </c>
      <c r="K7" s="15">
        <f>G7-389842</f>
        <v>45158</v>
      </c>
      <c r="L7" s="15">
        <v>44516</v>
      </c>
      <c r="M7" s="30">
        <v>111.29</v>
      </c>
      <c r="N7" s="34">
        <v>207</v>
      </c>
      <c r="O7" s="39">
        <v>0.52900000000000003</v>
      </c>
      <c r="P7" s="39">
        <v>0.52900000000000003</v>
      </c>
      <c r="Q7" s="15">
        <f>K7/M7</f>
        <v>405.76871237307932</v>
      </c>
      <c r="R7" s="15">
        <f>K7/O7</f>
        <v>85364.839319470702</v>
      </c>
      <c r="S7" s="44">
        <f>K7/O7/43560</f>
        <v>1.9597070550842677</v>
      </c>
      <c r="T7" s="39">
        <v>111.29</v>
      </c>
      <c r="U7" s="5" t="s">
        <v>48</v>
      </c>
      <c r="V7" t="s">
        <v>206</v>
      </c>
      <c r="X7" t="s">
        <v>51</v>
      </c>
      <c r="Y7">
        <v>0</v>
      </c>
      <c r="Z7">
        <v>0</v>
      </c>
      <c r="AA7" s="6">
        <v>45114</v>
      </c>
      <c r="AB7" t="s">
        <v>59</v>
      </c>
      <c r="AC7" s="7" t="s">
        <v>60</v>
      </c>
      <c r="AD7" t="s">
        <v>61</v>
      </c>
    </row>
    <row r="8" spans="1:50" ht="15.75" thickTop="1" x14ac:dyDescent="0.25">
      <c r="A8" s="8"/>
      <c r="B8" s="8"/>
      <c r="C8" s="26" t="s">
        <v>222</v>
      </c>
      <c r="D8" s="16">
        <f>+SUM(D2:D7)</f>
        <v>1818500</v>
      </c>
      <c r="E8" s="8"/>
      <c r="F8" s="8"/>
      <c r="G8" s="16">
        <f>+SUM(G2:G7)</f>
        <v>1818500</v>
      </c>
      <c r="H8" s="16">
        <f>+SUM(H2:H7)</f>
        <v>709800</v>
      </c>
      <c r="I8" s="21"/>
      <c r="J8" s="16">
        <f>+SUM(J2:J7)</f>
        <v>1825474</v>
      </c>
      <c r="K8" s="16">
        <f>+SUM(K2:K7)</f>
        <v>527316</v>
      </c>
      <c r="L8" s="16">
        <f>+SUM(L2:L7)</f>
        <v>321996</v>
      </c>
      <c r="M8" s="31">
        <f>+SUM(M2:M7)</f>
        <v>786.92</v>
      </c>
      <c r="N8" s="35"/>
      <c r="O8" s="40">
        <f>+SUM(O2:O7)</f>
        <v>3.7690000000000001</v>
      </c>
      <c r="P8" s="40">
        <f>+SUM(P2:P7)</f>
        <v>3.4249999999999998</v>
      </c>
      <c r="Q8" s="16"/>
      <c r="R8" s="16"/>
      <c r="S8" s="45"/>
      <c r="T8" s="40"/>
      <c r="U8" s="9"/>
      <c r="V8" s="8"/>
      <c r="W8" s="8"/>
      <c r="X8" s="8"/>
      <c r="Y8" s="8"/>
      <c r="Z8" s="8"/>
      <c r="AA8" s="8"/>
      <c r="AB8" s="8"/>
      <c r="AC8" s="8"/>
      <c r="AD8" s="8"/>
    </row>
    <row r="9" spans="1:50" x14ac:dyDescent="0.25">
      <c r="A9" s="10"/>
      <c r="B9" s="10"/>
      <c r="C9" s="27"/>
      <c r="D9" s="17"/>
      <c r="E9" s="10"/>
      <c r="F9" s="10"/>
      <c r="G9" s="17"/>
      <c r="H9" s="17" t="s">
        <v>223</v>
      </c>
      <c r="I9" s="22">
        <f>H8/G8*100</f>
        <v>39.032169370360187</v>
      </c>
      <c r="J9" s="17"/>
      <c r="K9" s="17"/>
      <c r="L9" s="17" t="s">
        <v>224</v>
      </c>
      <c r="M9" s="32"/>
      <c r="N9" s="36"/>
      <c r="O9" s="41" t="s">
        <v>224</v>
      </c>
      <c r="P9" s="41"/>
      <c r="Q9" s="17"/>
      <c r="R9" s="17" t="s">
        <v>224</v>
      </c>
      <c r="S9" s="46"/>
      <c r="T9" s="41"/>
      <c r="U9" s="11"/>
      <c r="V9" s="10"/>
      <c r="W9" s="10"/>
      <c r="X9" s="10"/>
      <c r="Y9" s="10"/>
      <c r="Z9" s="10"/>
      <c r="AA9" s="10"/>
      <c r="AB9" s="10"/>
      <c r="AC9" s="10"/>
      <c r="AD9" s="10"/>
    </row>
    <row r="10" spans="1:50" x14ac:dyDescent="0.25">
      <c r="A10" s="12"/>
      <c r="B10" s="12"/>
      <c r="C10" s="28"/>
      <c r="D10" s="18"/>
      <c r="E10" s="12"/>
      <c r="F10" s="12"/>
      <c r="G10" s="18"/>
      <c r="H10" s="18" t="s">
        <v>225</v>
      </c>
      <c r="I10" s="23">
        <f>STDEV(I2:I7)</f>
        <v>10.121678047188562</v>
      </c>
      <c r="J10" s="18"/>
      <c r="K10" s="18"/>
      <c r="L10" s="18" t="s">
        <v>226</v>
      </c>
      <c r="M10" s="48">
        <f>K8/M8</f>
        <v>670.1011538657043</v>
      </c>
      <c r="N10" s="37"/>
      <c r="O10" s="42" t="s">
        <v>227</v>
      </c>
      <c r="P10" s="42">
        <f>K8/O8</f>
        <v>139908.72910586363</v>
      </c>
      <c r="Q10" s="18"/>
      <c r="R10" s="18" t="s">
        <v>228</v>
      </c>
      <c r="S10" s="47">
        <f>K8/O8/43560</f>
        <v>3.2118624679950329</v>
      </c>
      <c r="T10" s="42"/>
      <c r="U10" s="13"/>
      <c r="V10" s="12"/>
      <c r="W10" s="12"/>
      <c r="X10" s="12"/>
      <c r="Y10" s="12"/>
      <c r="Z10" s="12"/>
      <c r="AA10" s="12"/>
      <c r="AB10" s="12"/>
      <c r="AC10" s="12"/>
      <c r="AD10" s="12"/>
    </row>
    <row r="12" spans="1:50" x14ac:dyDescent="0.25">
      <c r="L12" s="52" t="s">
        <v>236</v>
      </c>
      <c r="M12" s="58">
        <v>670</v>
      </c>
    </row>
  </sheetData>
  <conditionalFormatting sqref="A2:AD7">
    <cfRule type="expression" dxfId="17" priority="1" stopIfTrue="1">
      <formula>MOD(ROW(),4)&gt;1</formula>
    </cfRule>
    <cfRule type="expression" dxfId="16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DCF76-957B-4937-98A2-0A953AB25610}">
  <dimension ref="A1:AX20"/>
  <sheetViews>
    <sheetView workbookViewId="0">
      <selection activeCell="J23" sqref="J23"/>
    </sheetView>
  </sheetViews>
  <sheetFormatPr defaultRowHeight="15" x14ac:dyDescent="0.25"/>
  <cols>
    <col min="1" max="1" width="14.28515625" bestFit="1" customWidth="1"/>
    <col min="2" max="2" width="27.4257812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23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3.42578125" bestFit="1" customWidth="1"/>
    <col min="29" max="29" width="5.42578125" bestFit="1" customWidth="1"/>
    <col min="30" max="30" width="16.7109375" bestFit="1" customWidth="1"/>
  </cols>
  <sheetData>
    <row r="1" spans="1:50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A2" t="s">
        <v>81</v>
      </c>
      <c r="B2" t="s">
        <v>82</v>
      </c>
      <c r="C2" s="25">
        <v>44351</v>
      </c>
      <c r="D2" s="15">
        <v>100000</v>
      </c>
      <c r="E2" t="s">
        <v>46</v>
      </c>
      <c r="F2" t="s">
        <v>57</v>
      </c>
      <c r="G2" s="15">
        <v>100000</v>
      </c>
      <c r="H2" s="15">
        <v>33000</v>
      </c>
      <c r="I2" s="20">
        <f>H2/G2*100</f>
        <v>33</v>
      </c>
      <c r="J2" s="15">
        <v>131313</v>
      </c>
      <c r="K2" s="15">
        <f>G2-0</f>
        <v>100000</v>
      </c>
      <c r="L2" s="15">
        <v>131313</v>
      </c>
      <c r="M2" s="30">
        <v>137.5</v>
      </c>
      <c r="N2" s="34">
        <v>0</v>
      </c>
      <c r="O2" s="39">
        <v>1.0900000000000001</v>
      </c>
      <c r="P2" s="39">
        <v>1.0900000000000001</v>
      </c>
      <c r="Q2" s="15">
        <f>K2/M2</f>
        <v>727.27272727272725</v>
      </c>
      <c r="R2" s="15">
        <f>K2/O2</f>
        <v>91743.119266055044</v>
      </c>
      <c r="S2" s="44">
        <f>K2/O2/43560</f>
        <v>2.1061322145559007</v>
      </c>
      <c r="T2" s="39">
        <v>137.5</v>
      </c>
      <c r="U2" s="5" t="s">
        <v>48</v>
      </c>
      <c r="V2" t="s">
        <v>83</v>
      </c>
      <c r="X2" t="s">
        <v>51</v>
      </c>
      <c r="Y2">
        <v>0</v>
      </c>
      <c r="Z2">
        <v>0</v>
      </c>
      <c r="AA2" t="s">
        <v>68</v>
      </c>
      <c r="AB2" t="s">
        <v>76</v>
      </c>
      <c r="AC2" s="7" t="s">
        <v>69</v>
      </c>
      <c r="AD2" t="s">
        <v>77</v>
      </c>
    </row>
    <row r="3" spans="1:50" x14ac:dyDescent="0.25">
      <c r="A3" t="s">
        <v>153</v>
      </c>
      <c r="B3" t="s">
        <v>154</v>
      </c>
      <c r="C3" s="25">
        <v>44351</v>
      </c>
      <c r="D3" s="15">
        <v>80000</v>
      </c>
      <c r="E3" t="s">
        <v>46</v>
      </c>
      <c r="F3" t="s">
        <v>57</v>
      </c>
      <c r="G3" s="15">
        <v>80000</v>
      </c>
      <c r="H3" s="15">
        <v>30000</v>
      </c>
      <c r="I3" s="20">
        <f>H3/G3*100</f>
        <v>37.5</v>
      </c>
      <c r="J3" s="15">
        <v>80000</v>
      </c>
      <c r="K3" s="15">
        <f>G3-0</f>
        <v>80000</v>
      </c>
      <c r="L3" s="15">
        <v>80000</v>
      </c>
      <c r="M3" s="30">
        <v>109.4</v>
      </c>
      <c r="N3" s="34">
        <v>194.64999399999999</v>
      </c>
      <c r="O3" s="39">
        <v>0.48899999999999999</v>
      </c>
      <c r="P3" s="39">
        <v>0.48899999999999999</v>
      </c>
      <c r="Q3" s="15">
        <f>K3/M3</f>
        <v>731.26142595978058</v>
      </c>
      <c r="R3" s="15">
        <f>K3/O3</f>
        <v>163599.18200408999</v>
      </c>
      <c r="S3" s="44">
        <f>K3/O3/43560</f>
        <v>3.7557204316825068</v>
      </c>
      <c r="T3" s="39">
        <v>109.4</v>
      </c>
      <c r="U3" s="5" t="s">
        <v>48</v>
      </c>
      <c r="V3" t="s">
        <v>155</v>
      </c>
      <c r="X3" t="s">
        <v>51</v>
      </c>
      <c r="Y3">
        <v>0</v>
      </c>
      <c r="Z3">
        <v>0</v>
      </c>
      <c r="AA3" t="s">
        <v>68</v>
      </c>
      <c r="AB3" t="s">
        <v>76</v>
      </c>
      <c r="AC3" s="7" t="s">
        <v>69</v>
      </c>
      <c r="AD3" t="s">
        <v>54</v>
      </c>
    </row>
    <row r="4" spans="1:50" x14ac:dyDescent="0.25">
      <c r="A4" t="s">
        <v>62</v>
      </c>
      <c r="B4" t="s">
        <v>63</v>
      </c>
      <c r="C4" s="25">
        <v>44340</v>
      </c>
      <c r="D4" s="15">
        <v>373400</v>
      </c>
      <c r="E4" t="s">
        <v>46</v>
      </c>
      <c r="F4" t="s">
        <v>57</v>
      </c>
      <c r="G4" s="15">
        <v>373400</v>
      </c>
      <c r="H4" s="15">
        <v>141200</v>
      </c>
      <c r="I4" s="20">
        <f>H4/G4*100</f>
        <v>37.814675950723085</v>
      </c>
      <c r="J4" s="15">
        <v>346678</v>
      </c>
      <c r="K4" s="15">
        <f>G4-294678</f>
        <v>78722</v>
      </c>
      <c r="L4" s="15">
        <v>52000</v>
      </c>
      <c r="M4" s="30">
        <v>104</v>
      </c>
      <c r="N4" s="34">
        <v>250</v>
      </c>
      <c r="O4" s="39">
        <v>0.59699999999999998</v>
      </c>
      <c r="P4" s="39">
        <v>0.59699999999999998</v>
      </c>
      <c r="Q4" s="15">
        <f>K4/M4</f>
        <v>756.94230769230774</v>
      </c>
      <c r="R4" s="15">
        <f>K4/O4</f>
        <v>131862.64656616416</v>
      </c>
      <c r="S4" s="44">
        <f>K4/O4/43560</f>
        <v>3.0271498293426116</v>
      </c>
      <c r="T4" s="39">
        <v>104</v>
      </c>
      <c r="U4" s="5" t="s">
        <v>48</v>
      </c>
      <c r="V4" t="s">
        <v>64</v>
      </c>
      <c r="X4" t="s">
        <v>51</v>
      </c>
      <c r="Y4">
        <v>0</v>
      </c>
      <c r="Z4">
        <v>0</v>
      </c>
      <c r="AA4" s="6">
        <v>45087</v>
      </c>
      <c r="AB4" t="s">
        <v>59</v>
      </c>
      <c r="AC4" s="7" t="s">
        <v>60</v>
      </c>
      <c r="AD4" t="s">
        <v>54</v>
      </c>
    </row>
    <row r="5" spans="1:50" x14ac:dyDescent="0.25">
      <c r="A5" t="s">
        <v>213</v>
      </c>
      <c r="B5" t="s">
        <v>214</v>
      </c>
      <c r="C5" s="25">
        <v>44778</v>
      </c>
      <c r="D5" s="15">
        <v>520000</v>
      </c>
      <c r="E5" t="s">
        <v>46</v>
      </c>
      <c r="F5" t="s">
        <v>57</v>
      </c>
      <c r="G5" s="15">
        <v>520000</v>
      </c>
      <c r="H5" s="15">
        <v>224500</v>
      </c>
      <c r="I5" s="20">
        <f>H5/G5*100</f>
        <v>43.173076923076927</v>
      </c>
      <c r="J5" s="15">
        <v>524746</v>
      </c>
      <c r="K5" s="15">
        <f>G5-469246</f>
        <v>50754</v>
      </c>
      <c r="L5" s="15">
        <v>55500</v>
      </c>
      <c r="M5" s="30">
        <v>60</v>
      </c>
      <c r="N5" s="34">
        <v>200</v>
      </c>
      <c r="O5" s="39">
        <v>0.27500000000000002</v>
      </c>
      <c r="P5" s="39">
        <v>0.27500000000000002</v>
      </c>
      <c r="Q5" s="15">
        <f>K5/M5</f>
        <v>845.9</v>
      </c>
      <c r="R5" s="15">
        <f>K5/O5</f>
        <v>184559.99999999997</v>
      </c>
      <c r="S5" s="44">
        <f>K5/O5/43560</f>
        <v>4.2369146005509633</v>
      </c>
      <c r="T5" s="39">
        <v>60</v>
      </c>
      <c r="U5" s="5" t="s">
        <v>48</v>
      </c>
      <c r="V5" t="s">
        <v>215</v>
      </c>
      <c r="X5" t="s">
        <v>51</v>
      </c>
      <c r="Y5">
        <v>0</v>
      </c>
      <c r="Z5">
        <v>1</v>
      </c>
      <c r="AA5" s="6">
        <v>45101</v>
      </c>
      <c r="AB5" t="s">
        <v>59</v>
      </c>
      <c r="AC5" s="7" t="s">
        <v>60</v>
      </c>
      <c r="AD5" t="s">
        <v>174</v>
      </c>
    </row>
    <row r="6" spans="1:50" x14ac:dyDescent="0.25">
      <c r="A6" t="s">
        <v>111</v>
      </c>
      <c r="B6" t="s">
        <v>112</v>
      </c>
      <c r="C6" s="25">
        <v>44483</v>
      </c>
      <c r="D6" s="15">
        <v>93500</v>
      </c>
      <c r="E6" t="s">
        <v>46</v>
      </c>
      <c r="F6" t="s">
        <v>57</v>
      </c>
      <c r="G6" s="15">
        <v>93500</v>
      </c>
      <c r="H6" s="15">
        <v>24000</v>
      </c>
      <c r="I6" s="20">
        <f>H6/G6*100</f>
        <v>25.668449197860966</v>
      </c>
      <c r="J6" s="15">
        <v>248390</v>
      </c>
      <c r="K6" s="15">
        <f>G6-0</f>
        <v>93500</v>
      </c>
      <c r="L6" s="15">
        <v>40000</v>
      </c>
      <c r="M6" s="30">
        <v>100</v>
      </c>
      <c r="N6" s="34">
        <v>200</v>
      </c>
      <c r="O6" s="39">
        <v>0.45900000000000002</v>
      </c>
      <c r="P6" s="39">
        <v>0.45900000000000002</v>
      </c>
      <c r="Q6" s="15">
        <f>K6/M6</f>
        <v>935</v>
      </c>
      <c r="R6" s="15">
        <f>K6/O6</f>
        <v>203703.70370370371</v>
      </c>
      <c r="S6" s="44">
        <f>K6/O6/43560</f>
        <v>4.6763935652824546</v>
      </c>
      <c r="T6" s="39">
        <v>100</v>
      </c>
      <c r="U6" s="5" t="s">
        <v>48</v>
      </c>
      <c r="V6" t="s">
        <v>113</v>
      </c>
      <c r="X6" t="s">
        <v>51</v>
      </c>
      <c r="Y6">
        <v>0</v>
      </c>
      <c r="Z6">
        <v>1</v>
      </c>
      <c r="AA6" s="6">
        <v>44939</v>
      </c>
      <c r="AB6" t="s">
        <v>76</v>
      </c>
      <c r="AC6" s="7" t="s">
        <v>60</v>
      </c>
      <c r="AD6" t="s">
        <v>61</v>
      </c>
    </row>
    <row r="7" spans="1:50" x14ac:dyDescent="0.25">
      <c r="A7" t="s">
        <v>185</v>
      </c>
      <c r="B7" t="s">
        <v>186</v>
      </c>
      <c r="C7" s="25">
        <v>44684</v>
      </c>
      <c r="D7" s="15">
        <v>424900</v>
      </c>
      <c r="E7" t="s">
        <v>46</v>
      </c>
      <c r="F7" t="s">
        <v>57</v>
      </c>
      <c r="G7" s="15">
        <v>424900</v>
      </c>
      <c r="H7" s="15">
        <v>143200</v>
      </c>
      <c r="I7" s="20">
        <f>H7/G7*100</f>
        <v>33.702047540597789</v>
      </c>
      <c r="J7" s="15">
        <v>353239</v>
      </c>
      <c r="K7" s="15">
        <f>G7-309739</f>
        <v>115161</v>
      </c>
      <c r="L7" s="15">
        <v>43500</v>
      </c>
      <c r="M7" s="30">
        <v>120</v>
      </c>
      <c r="N7" s="34">
        <v>207</v>
      </c>
      <c r="O7" s="39">
        <v>0</v>
      </c>
      <c r="P7" s="39">
        <v>0</v>
      </c>
      <c r="Q7" s="15">
        <f>K7/M7</f>
        <v>959.67499999999995</v>
      </c>
      <c r="R7" s="15" t="e">
        <f>K7/O7</f>
        <v>#DIV/0!</v>
      </c>
      <c r="S7" s="44" t="e">
        <f>K7/O7/43560</f>
        <v>#DIV/0!</v>
      </c>
      <c r="T7" s="39">
        <v>120</v>
      </c>
      <c r="U7" s="5" t="s">
        <v>48</v>
      </c>
      <c r="V7" t="s">
        <v>187</v>
      </c>
      <c r="X7" t="s">
        <v>51</v>
      </c>
      <c r="Y7">
        <v>0</v>
      </c>
      <c r="Z7">
        <v>1</v>
      </c>
      <c r="AA7" t="s">
        <v>68</v>
      </c>
      <c r="AB7" t="s">
        <v>76</v>
      </c>
      <c r="AC7" s="7" t="s">
        <v>60</v>
      </c>
      <c r="AD7" t="s">
        <v>54</v>
      </c>
    </row>
    <row r="8" spans="1:50" x14ac:dyDescent="0.25">
      <c r="A8" t="s">
        <v>73</v>
      </c>
      <c r="B8" t="s">
        <v>74</v>
      </c>
      <c r="C8" s="25">
        <v>44763</v>
      </c>
      <c r="D8" s="15">
        <v>135000</v>
      </c>
      <c r="E8" t="s">
        <v>46</v>
      </c>
      <c r="F8" t="s">
        <v>57</v>
      </c>
      <c r="G8" s="15">
        <v>135000</v>
      </c>
      <c r="H8" s="15">
        <v>33000</v>
      </c>
      <c r="I8" s="20">
        <f>H8/G8*100</f>
        <v>24.444444444444443</v>
      </c>
      <c r="J8" s="15">
        <v>131313</v>
      </c>
      <c r="K8" s="15">
        <f>G8-0</f>
        <v>135000</v>
      </c>
      <c r="L8" s="15">
        <v>131313</v>
      </c>
      <c r="M8" s="30">
        <v>137.5</v>
      </c>
      <c r="N8" s="34">
        <v>0</v>
      </c>
      <c r="O8" s="39">
        <v>1.07</v>
      </c>
      <c r="P8" s="39">
        <v>1.0900000000000001</v>
      </c>
      <c r="Q8" s="15">
        <f>K8/M8</f>
        <v>981.81818181818187</v>
      </c>
      <c r="R8" s="15">
        <f>K8/O8</f>
        <v>126168.22429906542</v>
      </c>
      <c r="S8" s="44">
        <f>K8/O8/43560</f>
        <v>2.8964238819803816</v>
      </c>
      <c r="T8" s="39">
        <v>137.5</v>
      </c>
      <c r="U8" s="5" t="s">
        <v>48</v>
      </c>
      <c r="V8" t="s">
        <v>75</v>
      </c>
      <c r="X8" t="s">
        <v>51</v>
      </c>
      <c r="Y8">
        <v>0</v>
      </c>
      <c r="Z8">
        <v>1</v>
      </c>
      <c r="AA8" s="6">
        <v>44936</v>
      </c>
      <c r="AB8" t="s">
        <v>76</v>
      </c>
      <c r="AC8" s="7" t="s">
        <v>69</v>
      </c>
      <c r="AD8" t="s">
        <v>77</v>
      </c>
    </row>
    <row r="9" spans="1:50" x14ac:dyDescent="0.25">
      <c r="A9" t="s">
        <v>88</v>
      </c>
      <c r="B9" t="s">
        <v>89</v>
      </c>
      <c r="C9" s="25">
        <v>44924</v>
      </c>
      <c r="D9" s="15">
        <v>677000</v>
      </c>
      <c r="E9" t="s">
        <v>46</v>
      </c>
      <c r="F9" t="s">
        <v>57</v>
      </c>
      <c r="G9" s="15">
        <v>677000</v>
      </c>
      <c r="H9" s="15">
        <v>251500</v>
      </c>
      <c r="I9" s="20">
        <f>H9/G9*100</f>
        <v>37.149187592319052</v>
      </c>
      <c r="J9" s="15">
        <v>583424</v>
      </c>
      <c r="K9" s="15">
        <f>G9-488424</f>
        <v>188576</v>
      </c>
      <c r="L9" s="15">
        <v>95000</v>
      </c>
      <c r="M9" s="30">
        <v>190</v>
      </c>
      <c r="N9" s="34">
        <v>334</v>
      </c>
      <c r="O9" s="39">
        <v>1.4570000000000001</v>
      </c>
      <c r="P9" s="39">
        <v>1.4570000000000001</v>
      </c>
      <c r="Q9" s="15">
        <f>K9/M9</f>
        <v>992.50526315789477</v>
      </c>
      <c r="R9" s="15">
        <f>K9/O9</f>
        <v>129427.59094028825</v>
      </c>
      <c r="S9" s="44">
        <f>K9/O9/43560</f>
        <v>2.9712486441755797</v>
      </c>
      <c r="T9" s="39">
        <v>190</v>
      </c>
      <c r="U9" s="5" t="s">
        <v>48</v>
      </c>
      <c r="V9" t="s">
        <v>90</v>
      </c>
      <c r="X9" t="s">
        <v>51</v>
      </c>
      <c r="Y9">
        <v>0</v>
      </c>
      <c r="Z9">
        <v>1</v>
      </c>
      <c r="AA9" s="6">
        <v>45187</v>
      </c>
      <c r="AB9" t="s">
        <v>59</v>
      </c>
      <c r="AC9" s="7" t="s">
        <v>60</v>
      </c>
      <c r="AD9" t="s">
        <v>54</v>
      </c>
    </row>
    <row r="10" spans="1:50" x14ac:dyDescent="0.25">
      <c r="A10" t="s">
        <v>178</v>
      </c>
      <c r="B10" t="s">
        <v>179</v>
      </c>
      <c r="C10" s="25">
        <v>44852</v>
      </c>
      <c r="D10" s="15">
        <v>449900</v>
      </c>
      <c r="E10" t="s">
        <v>46</v>
      </c>
      <c r="F10" t="s">
        <v>57</v>
      </c>
      <c r="G10" s="15">
        <v>449900</v>
      </c>
      <c r="H10" s="15">
        <v>159100</v>
      </c>
      <c r="I10" s="20">
        <f>H10/G10*100</f>
        <v>35.363414092020449</v>
      </c>
      <c r="J10" s="15">
        <v>391329</v>
      </c>
      <c r="K10" s="15">
        <f>G10-347829</f>
        <v>102071</v>
      </c>
      <c r="L10" s="15">
        <v>43500</v>
      </c>
      <c r="M10" s="30">
        <v>99</v>
      </c>
      <c r="N10" s="34">
        <v>186</v>
      </c>
      <c r="O10" s="39">
        <v>0</v>
      </c>
      <c r="P10" s="39">
        <v>0</v>
      </c>
      <c r="Q10" s="15">
        <f>K10/M10</f>
        <v>1031.0202020202021</v>
      </c>
      <c r="R10" s="15" t="e">
        <f>K10/O10</f>
        <v>#DIV/0!</v>
      </c>
      <c r="S10" s="44" t="e">
        <f>K10/O10/43560</f>
        <v>#DIV/0!</v>
      </c>
      <c r="T10" s="39">
        <v>99</v>
      </c>
      <c r="U10" s="5" t="s">
        <v>48</v>
      </c>
      <c r="V10" t="s">
        <v>180</v>
      </c>
      <c r="X10" t="s">
        <v>51</v>
      </c>
      <c r="Y10">
        <v>0</v>
      </c>
      <c r="Z10">
        <v>1</v>
      </c>
      <c r="AA10" t="s">
        <v>68</v>
      </c>
      <c r="AB10" t="s">
        <v>76</v>
      </c>
      <c r="AC10" s="7" t="s">
        <v>60</v>
      </c>
      <c r="AD10" t="s">
        <v>54</v>
      </c>
    </row>
    <row r="11" spans="1:50" x14ac:dyDescent="0.25">
      <c r="A11" t="s">
        <v>70</v>
      </c>
      <c r="B11" t="s">
        <v>71</v>
      </c>
      <c r="C11" s="25">
        <v>44483</v>
      </c>
      <c r="D11" s="15">
        <v>650000</v>
      </c>
      <c r="E11" t="s">
        <v>46</v>
      </c>
      <c r="F11" t="s">
        <v>57</v>
      </c>
      <c r="G11" s="15">
        <v>650000</v>
      </c>
      <c r="H11" s="15">
        <v>202100</v>
      </c>
      <c r="I11" s="20">
        <f>H11/G11*100</f>
        <v>31.092307692307692</v>
      </c>
      <c r="J11" s="15">
        <v>490652</v>
      </c>
      <c r="K11" s="15">
        <f>G11-390652</f>
        <v>259348</v>
      </c>
      <c r="L11" s="15">
        <v>100000</v>
      </c>
      <c r="M11" s="30">
        <v>250</v>
      </c>
      <c r="N11" s="34">
        <v>0</v>
      </c>
      <c r="O11" s="39">
        <v>3.7879999999999998</v>
      </c>
      <c r="P11" s="39">
        <v>3.7879999999999998</v>
      </c>
      <c r="Q11" s="15">
        <f>K11/M11</f>
        <v>1037.3920000000001</v>
      </c>
      <c r="R11" s="15">
        <f>K11/O11</f>
        <v>68465.681098204863</v>
      </c>
      <c r="S11" s="44">
        <f>K11/O11/43560</f>
        <v>1.5717557644215991</v>
      </c>
      <c r="T11" s="39">
        <v>250</v>
      </c>
      <c r="U11" s="5" t="s">
        <v>48</v>
      </c>
      <c r="V11" t="s">
        <v>72</v>
      </c>
      <c r="X11" t="s">
        <v>51</v>
      </c>
      <c r="Y11">
        <v>0</v>
      </c>
      <c r="Z11">
        <v>1</v>
      </c>
      <c r="AA11" s="6">
        <v>45129</v>
      </c>
      <c r="AB11" t="s">
        <v>59</v>
      </c>
      <c r="AC11" s="7" t="s">
        <v>60</v>
      </c>
      <c r="AD11" t="s">
        <v>61</v>
      </c>
    </row>
    <row r="12" spans="1:50" x14ac:dyDescent="0.25">
      <c r="A12" t="s">
        <v>163</v>
      </c>
      <c r="B12" t="s">
        <v>164</v>
      </c>
      <c r="C12" s="25">
        <v>44484</v>
      </c>
      <c r="D12" s="15">
        <v>389900</v>
      </c>
      <c r="E12" t="s">
        <v>46</v>
      </c>
      <c r="F12" t="s">
        <v>47</v>
      </c>
      <c r="G12" s="15">
        <v>389900</v>
      </c>
      <c r="H12" s="15">
        <v>119300</v>
      </c>
      <c r="I12" s="20">
        <f>H12/G12*100</f>
        <v>30.597589125416775</v>
      </c>
      <c r="J12" s="15">
        <v>298837</v>
      </c>
      <c r="K12" s="15">
        <f>G12-260957</f>
        <v>128943</v>
      </c>
      <c r="L12" s="15">
        <v>39425</v>
      </c>
      <c r="M12" s="30">
        <v>123</v>
      </c>
      <c r="N12" s="34">
        <v>0</v>
      </c>
      <c r="O12" s="39">
        <v>0.90900000000000003</v>
      </c>
      <c r="P12" s="39">
        <v>0.56499999999999995</v>
      </c>
      <c r="Q12" s="15">
        <f>K12/M12</f>
        <v>1048.3170731707316</v>
      </c>
      <c r="R12" s="15">
        <f>K12/O12</f>
        <v>141851.48514851485</v>
      </c>
      <c r="S12" s="44">
        <f>K12/O12/43560</f>
        <v>3.2564620098373473</v>
      </c>
      <c r="T12" s="39">
        <v>123</v>
      </c>
      <c r="U12" s="5" t="s">
        <v>48</v>
      </c>
      <c r="V12" t="s">
        <v>165</v>
      </c>
      <c r="W12" t="s">
        <v>166</v>
      </c>
      <c r="X12" t="s">
        <v>51</v>
      </c>
      <c r="Y12">
        <v>0</v>
      </c>
      <c r="Z12">
        <v>1</v>
      </c>
      <c r="AA12" s="6">
        <v>45085</v>
      </c>
      <c r="AB12" t="s">
        <v>59</v>
      </c>
      <c r="AC12" s="7" t="s">
        <v>60</v>
      </c>
      <c r="AD12" t="s">
        <v>94</v>
      </c>
    </row>
    <row r="13" spans="1:50" x14ac:dyDescent="0.25">
      <c r="A13" t="s">
        <v>55</v>
      </c>
      <c r="B13" t="s">
        <v>56</v>
      </c>
      <c r="C13" s="25">
        <v>44378</v>
      </c>
      <c r="D13" s="15">
        <v>227000</v>
      </c>
      <c r="E13" t="s">
        <v>46</v>
      </c>
      <c r="F13" t="s">
        <v>57</v>
      </c>
      <c r="G13" s="15">
        <v>227000</v>
      </c>
      <c r="H13" s="15">
        <v>67500</v>
      </c>
      <c r="I13" s="20">
        <f>H13/G13*100</f>
        <v>29.735682819383257</v>
      </c>
      <c r="J13" s="15">
        <v>161927</v>
      </c>
      <c r="K13" s="15">
        <f>G13-121927</f>
        <v>105073</v>
      </c>
      <c r="L13" s="15">
        <v>40000</v>
      </c>
      <c r="M13" s="30">
        <v>100</v>
      </c>
      <c r="N13" s="34">
        <v>200</v>
      </c>
      <c r="O13" s="39">
        <v>0.45900000000000002</v>
      </c>
      <c r="P13" s="39">
        <v>0.45900000000000002</v>
      </c>
      <c r="Q13" s="15">
        <f>K13/M13</f>
        <v>1050.73</v>
      </c>
      <c r="R13" s="15">
        <f>K13/O13</f>
        <v>228917.21132897603</v>
      </c>
      <c r="S13" s="44">
        <f>K13/O13/43560</f>
        <v>5.2552160543842064</v>
      </c>
      <c r="T13" s="39">
        <v>100</v>
      </c>
      <c r="U13" s="5" t="s">
        <v>48</v>
      </c>
      <c r="V13" t="s">
        <v>58</v>
      </c>
      <c r="X13" t="s">
        <v>51</v>
      </c>
      <c r="Y13">
        <v>0</v>
      </c>
      <c r="Z13">
        <v>1</v>
      </c>
      <c r="AA13" s="6">
        <v>45129</v>
      </c>
      <c r="AB13" t="s">
        <v>59</v>
      </c>
      <c r="AC13" s="7" t="s">
        <v>60</v>
      </c>
      <c r="AD13" t="s">
        <v>61</v>
      </c>
    </row>
    <row r="14" spans="1:50" ht="15.75" thickBot="1" x14ac:dyDescent="0.3">
      <c r="A14" t="s">
        <v>65</v>
      </c>
      <c r="B14" t="s">
        <v>66</v>
      </c>
      <c r="C14" s="25">
        <v>44851</v>
      </c>
      <c r="D14" s="15">
        <v>390000</v>
      </c>
      <c r="E14" t="s">
        <v>46</v>
      </c>
      <c r="F14" t="s">
        <v>57</v>
      </c>
      <c r="G14" s="15">
        <v>390000</v>
      </c>
      <c r="H14" s="15">
        <v>131200</v>
      </c>
      <c r="I14" s="20">
        <f>H14/G14*100</f>
        <v>33.641025641025642</v>
      </c>
      <c r="J14" s="15">
        <v>303945</v>
      </c>
      <c r="K14" s="15">
        <f>G14-255945</f>
        <v>134055</v>
      </c>
      <c r="L14" s="15">
        <v>48000</v>
      </c>
      <c r="M14" s="30">
        <v>120</v>
      </c>
      <c r="N14" s="34">
        <v>260</v>
      </c>
      <c r="O14" s="39">
        <v>0.71599999999999997</v>
      </c>
      <c r="P14" s="39">
        <v>0.71599999999999997</v>
      </c>
      <c r="Q14" s="15">
        <f>K14/M14</f>
        <v>1117.125</v>
      </c>
      <c r="R14" s="15">
        <f>K14/O14</f>
        <v>187227.65363128492</v>
      </c>
      <c r="S14" s="44">
        <f>K14/O14/43560</f>
        <v>4.29815550117734</v>
      </c>
      <c r="T14" s="39">
        <v>120</v>
      </c>
      <c r="U14" s="5" t="s">
        <v>48</v>
      </c>
      <c r="V14" t="s">
        <v>67</v>
      </c>
      <c r="X14" t="s">
        <v>51</v>
      </c>
      <c r="Y14">
        <v>0</v>
      </c>
      <c r="Z14">
        <v>0</v>
      </c>
      <c r="AA14" s="6">
        <v>45087</v>
      </c>
      <c r="AB14" t="s">
        <v>59</v>
      </c>
      <c r="AC14" s="7" t="s">
        <v>60</v>
      </c>
      <c r="AD14" t="s">
        <v>61</v>
      </c>
    </row>
    <row r="15" spans="1:50" ht="15.75" thickBot="1" x14ac:dyDescent="0.3">
      <c r="A15" t="s">
        <v>91</v>
      </c>
      <c r="B15" t="s">
        <v>92</v>
      </c>
      <c r="C15" s="25">
        <v>44988</v>
      </c>
      <c r="D15" s="15">
        <v>535000</v>
      </c>
      <c r="E15" t="s">
        <v>46</v>
      </c>
      <c r="F15" t="s">
        <v>57</v>
      </c>
      <c r="G15" s="15">
        <v>535000</v>
      </c>
      <c r="H15" s="15">
        <v>0</v>
      </c>
      <c r="I15" s="20">
        <f>H15/G15*100</f>
        <v>0</v>
      </c>
      <c r="J15" s="15">
        <v>390040</v>
      </c>
      <c r="K15" s="15">
        <f>G15-347290</f>
        <v>187710</v>
      </c>
      <c r="L15" s="15">
        <v>42750</v>
      </c>
      <c r="M15" s="30">
        <v>150</v>
      </c>
      <c r="N15" s="34">
        <v>326.47000100000002</v>
      </c>
      <c r="O15" s="39">
        <v>1.1240000000000001</v>
      </c>
      <c r="P15" s="39">
        <v>1.1240000000000001</v>
      </c>
      <c r="Q15" s="15">
        <f>K15/M15</f>
        <v>1251.4000000000001</v>
      </c>
      <c r="R15" s="15">
        <f>K15/O15</f>
        <v>167001.7793594306</v>
      </c>
      <c r="S15" s="44">
        <f>K15/O15/43560</f>
        <v>3.8338333186278835</v>
      </c>
      <c r="T15" s="39">
        <v>150</v>
      </c>
      <c r="U15" s="5" t="s">
        <v>48</v>
      </c>
      <c r="V15" t="s">
        <v>93</v>
      </c>
      <c r="X15" t="s">
        <v>51</v>
      </c>
      <c r="Y15">
        <v>0</v>
      </c>
      <c r="Z15">
        <v>0</v>
      </c>
      <c r="AA15" s="6">
        <v>45200</v>
      </c>
      <c r="AC15" s="7" t="s">
        <v>60</v>
      </c>
      <c r="AD15" t="s">
        <v>94</v>
      </c>
    </row>
    <row r="16" spans="1:50" ht="15.75" thickTop="1" x14ac:dyDescent="0.25">
      <c r="A16" s="8"/>
      <c r="B16" s="8"/>
      <c r="C16" s="26" t="s">
        <v>222</v>
      </c>
      <c r="D16" s="16">
        <f>+SUM(D2:D15)</f>
        <v>5045600</v>
      </c>
      <c r="E16" s="8"/>
      <c r="F16" s="8"/>
      <c r="G16" s="16">
        <f>+SUM(G2:G15)</f>
        <v>5045600</v>
      </c>
      <c r="H16" s="16">
        <f>+SUM(H2:H15)</f>
        <v>1559600</v>
      </c>
      <c r="I16" s="21"/>
      <c r="J16" s="16">
        <f>+SUM(J2:J15)</f>
        <v>4435833</v>
      </c>
      <c r="K16" s="16">
        <f>+SUM(K2:K15)</f>
        <v>1758913</v>
      </c>
      <c r="L16" s="16">
        <f>+SUM(L2:L15)</f>
        <v>942301</v>
      </c>
      <c r="M16" s="31">
        <f>+SUM(M2:M15)</f>
        <v>1800.4</v>
      </c>
      <c r="N16" s="35"/>
      <c r="O16" s="40">
        <f>+SUM(O2:O15)</f>
        <v>12.433</v>
      </c>
      <c r="P16" s="40">
        <f>+SUM(P2:P15)</f>
        <v>12.108999999999998</v>
      </c>
      <c r="Q16" s="16"/>
      <c r="R16" s="16"/>
      <c r="S16" s="45"/>
      <c r="T16" s="40"/>
      <c r="U16" s="9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5">
      <c r="A17" s="10"/>
      <c r="B17" s="10"/>
      <c r="C17" s="27"/>
      <c r="D17" s="17"/>
      <c r="E17" s="10"/>
      <c r="F17" s="10"/>
      <c r="G17" s="17"/>
      <c r="H17" s="17" t="s">
        <v>223</v>
      </c>
      <c r="I17" s="22">
        <f>H16/G16*100</f>
        <v>30.910099889012209</v>
      </c>
      <c r="J17" s="17"/>
      <c r="K17" s="17"/>
      <c r="L17" s="17" t="s">
        <v>224</v>
      </c>
      <c r="M17" s="32"/>
      <c r="N17" s="36"/>
      <c r="O17" s="41" t="s">
        <v>224</v>
      </c>
      <c r="P17" s="41"/>
      <c r="Q17" s="17"/>
      <c r="R17" s="17" t="s">
        <v>224</v>
      </c>
      <c r="S17" s="46"/>
      <c r="T17" s="41"/>
      <c r="U17" s="11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x14ac:dyDescent="0.25">
      <c r="A18" s="12"/>
      <c r="B18" s="12"/>
      <c r="C18" s="28"/>
      <c r="D18" s="18"/>
      <c r="E18" s="12"/>
      <c r="F18" s="12"/>
      <c r="G18" s="18"/>
      <c r="H18" s="18" t="s">
        <v>225</v>
      </c>
      <c r="I18" s="23">
        <f>STDEV(I2:I15)</f>
        <v>10.175694940088412</v>
      </c>
      <c r="J18" s="18"/>
      <c r="K18" s="18"/>
      <c r="L18" s="18" t="s">
        <v>226</v>
      </c>
      <c r="M18" s="48">
        <f>K16/M16</f>
        <v>976.956787380582</v>
      </c>
      <c r="N18" s="37"/>
      <c r="O18" s="42" t="s">
        <v>227</v>
      </c>
      <c r="P18" s="42">
        <f>K16/O16</f>
        <v>141471.32630901632</v>
      </c>
      <c r="Q18" s="18"/>
      <c r="R18" s="18" t="s">
        <v>228</v>
      </c>
      <c r="S18" s="47">
        <f>K16/O16/43560</f>
        <v>3.2477347637515224</v>
      </c>
      <c r="T18" s="42"/>
      <c r="U18" s="13"/>
      <c r="V18" s="12"/>
      <c r="W18" s="12"/>
      <c r="X18" s="12"/>
      <c r="Y18" s="12"/>
      <c r="Z18" s="12"/>
      <c r="AA18" s="12"/>
      <c r="AB18" s="12"/>
      <c r="AC18" s="12"/>
      <c r="AD18" s="12"/>
    </row>
    <row r="20" spans="1:30" x14ac:dyDescent="0.25">
      <c r="K20" s="53"/>
      <c r="L20" s="54" t="s">
        <v>236</v>
      </c>
      <c r="M20" s="56">
        <v>975</v>
      </c>
    </row>
  </sheetData>
  <sortState xmlns:xlrd2="http://schemas.microsoft.com/office/spreadsheetml/2017/richdata2" ref="A2:AD15">
    <sortCondition ref="Q2:Q15"/>
  </sortState>
  <conditionalFormatting sqref="A2:AD15">
    <cfRule type="expression" dxfId="15" priority="1" stopIfTrue="1">
      <formula>MOD(ROW(),4)&gt;1</formula>
    </cfRule>
    <cfRule type="expression" dxfId="14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Excellent FF</vt:lpstr>
      <vt:lpstr>Good FF</vt:lpstr>
      <vt:lpstr>Avg FF</vt:lpstr>
      <vt:lpstr>Fair FF</vt:lpstr>
      <vt:lpstr>Below Avg FF</vt:lpstr>
      <vt:lpstr>Cul-De-Sac FF</vt:lpstr>
      <vt:lpstr>City Excellent FF</vt:lpstr>
      <vt:lpstr>City Good FF</vt:lpstr>
      <vt:lpstr>City Above Good FF</vt:lpstr>
      <vt:lpstr>110-Clearbrook</vt:lpstr>
      <vt:lpstr>391-Singapore Trail</vt:lpstr>
      <vt:lpstr>255-Maple Green Condo</vt:lpstr>
      <vt:lpstr>165-Gas Light Estates</vt:lpstr>
      <vt:lpstr>344-Sanctuary</vt:lpstr>
      <vt:lpstr>265 Meadowargus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Saugatuck Township</dc:creator>
  <cp:lastModifiedBy>Saugatuck Township</cp:lastModifiedBy>
  <dcterms:created xsi:type="dcterms:W3CDTF">2024-01-10T17:44:29Z</dcterms:created>
  <dcterms:modified xsi:type="dcterms:W3CDTF">2024-01-10T18:51:31Z</dcterms:modified>
</cp:coreProperties>
</file>